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елия\Downloads\"/>
    </mc:Choice>
  </mc:AlternateContent>
  <bookViews>
    <workbookView xWindow="0" yWindow="0" windowWidth="12600" windowHeight="6990" activeTab="3"/>
  </bookViews>
  <sheets>
    <sheet name="Титул" sheetId="9" r:id="rId1"/>
    <sheet name="ТИТУЛ 2" sheetId="10" state="hidden" r:id="rId2"/>
    <sheet name="на выход" sheetId="1" r:id="rId3"/>
    <sheet name="сводки БЖУ" sheetId="2" r:id="rId4"/>
    <sheet name="сводки по продуктам" sheetId="5" r:id="rId5"/>
    <sheet name="библиография" sheetId="7" r:id="rId6"/>
    <sheet name="Лист1" sheetId="8" state="hidden" r:id="rId7"/>
  </sheets>
  <definedNames>
    <definedName name="_xlnm.Print_Area" localSheetId="0">Титул!$B$129:$D$150</definedName>
  </definedNames>
  <calcPr calcId="162913"/>
</workbook>
</file>

<file path=xl/calcChain.xml><?xml version="1.0" encoding="utf-8"?>
<calcChain xmlns="http://schemas.openxmlformats.org/spreadsheetml/2006/main">
  <c r="N19" i="2" l="1"/>
  <c r="M19" i="2"/>
  <c r="L19" i="2"/>
  <c r="K19" i="2"/>
  <c r="I19" i="2"/>
  <c r="H19" i="2"/>
  <c r="G19" i="2"/>
  <c r="F19" i="2"/>
  <c r="E19" i="2"/>
  <c r="D19" i="2"/>
  <c r="C19" i="2"/>
  <c r="N17" i="2"/>
  <c r="M17" i="2"/>
  <c r="L17" i="2"/>
  <c r="K17" i="2"/>
  <c r="J17" i="2"/>
  <c r="I17" i="2"/>
  <c r="H17" i="2"/>
  <c r="G17" i="2"/>
  <c r="F17" i="2"/>
  <c r="D17" i="2"/>
  <c r="C21" i="2" s="1"/>
  <c r="C17" i="2"/>
  <c r="F58" i="1" l="1"/>
  <c r="G58" i="1"/>
  <c r="H58" i="1"/>
  <c r="I58" i="1"/>
  <c r="J58" i="1"/>
  <c r="K58" i="1"/>
  <c r="L58" i="1"/>
  <c r="M58" i="1"/>
  <c r="N58" i="1"/>
  <c r="O58" i="1"/>
  <c r="P58" i="1"/>
  <c r="E58" i="1"/>
  <c r="E120" i="1"/>
  <c r="E125" i="1" s="1"/>
  <c r="F120" i="1"/>
  <c r="F125" i="1" s="1"/>
  <c r="G120" i="1"/>
  <c r="G125" i="1" s="1"/>
  <c r="H120" i="1"/>
  <c r="H125" i="1" s="1"/>
  <c r="I120" i="1"/>
  <c r="I125" i="1" s="1"/>
  <c r="J120" i="1"/>
  <c r="J125" i="1" s="1"/>
  <c r="K120" i="1"/>
  <c r="K125" i="1" s="1"/>
  <c r="L120" i="1"/>
  <c r="L125" i="1" s="1"/>
  <c r="M120" i="1"/>
  <c r="M125" i="1" s="1"/>
  <c r="N120" i="1"/>
  <c r="N125" i="1" s="1"/>
  <c r="O120" i="1"/>
  <c r="O125" i="1" s="1"/>
  <c r="P120" i="1"/>
  <c r="P125" i="1" s="1"/>
  <c r="E229" i="1" l="1"/>
  <c r="F229" i="1"/>
  <c r="G229" i="1"/>
  <c r="H229" i="1"/>
  <c r="I229" i="1"/>
  <c r="J229" i="1"/>
  <c r="K229" i="1"/>
  <c r="L229" i="1"/>
  <c r="L231" i="1" s="1"/>
  <c r="M229" i="1"/>
  <c r="N229" i="1"/>
  <c r="O229" i="1"/>
  <c r="P229" i="1"/>
  <c r="P231" i="1" s="1"/>
  <c r="E231" i="1"/>
  <c r="F231" i="1"/>
  <c r="G231" i="1"/>
  <c r="H231" i="1"/>
  <c r="I231" i="1"/>
  <c r="J231" i="1"/>
  <c r="K231" i="1"/>
  <c r="M231" i="1"/>
  <c r="N231" i="1"/>
  <c r="O231" i="1"/>
  <c r="F247" i="1"/>
  <c r="G247" i="1"/>
  <c r="H247" i="1"/>
  <c r="I247" i="1"/>
  <c r="J247" i="1"/>
  <c r="K247" i="1"/>
  <c r="L247" i="1"/>
  <c r="M247" i="1"/>
  <c r="N247" i="1"/>
  <c r="O247" i="1"/>
  <c r="P247" i="1"/>
  <c r="E247" i="1"/>
  <c r="F332" i="1"/>
  <c r="G332" i="1"/>
  <c r="H332" i="1"/>
  <c r="I332" i="1"/>
  <c r="J332" i="1"/>
  <c r="K332" i="1"/>
  <c r="L332" i="1"/>
  <c r="M332" i="1"/>
  <c r="N332" i="1"/>
  <c r="O332" i="1"/>
  <c r="P332" i="1"/>
  <c r="E332" i="1"/>
  <c r="F322" i="1"/>
  <c r="G322" i="1"/>
  <c r="H322" i="1"/>
  <c r="I322" i="1"/>
  <c r="J322" i="1"/>
  <c r="K322" i="1"/>
  <c r="L322" i="1"/>
  <c r="M322" i="1"/>
  <c r="N322" i="1"/>
  <c r="O322" i="1"/>
  <c r="P322" i="1"/>
  <c r="E322" i="1"/>
  <c r="E317" i="1"/>
  <c r="E308" i="1"/>
  <c r="E313" i="1" s="1"/>
  <c r="F296" i="1"/>
  <c r="G296" i="1"/>
  <c r="H296" i="1"/>
  <c r="I296" i="1"/>
  <c r="J296" i="1"/>
  <c r="K296" i="1"/>
  <c r="L296" i="1"/>
  <c r="M296" i="1"/>
  <c r="N296" i="1"/>
  <c r="O296" i="1"/>
  <c r="P296" i="1"/>
  <c r="E296" i="1"/>
  <c r="F292" i="1"/>
  <c r="G292" i="1"/>
  <c r="H292" i="1"/>
  <c r="I292" i="1"/>
  <c r="J292" i="1"/>
  <c r="K292" i="1"/>
  <c r="L292" i="1"/>
  <c r="M292" i="1"/>
  <c r="N292" i="1"/>
  <c r="O292" i="1"/>
  <c r="P292" i="1"/>
  <c r="E292" i="1"/>
  <c r="F278" i="1"/>
  <c r="F283" i="1" s="1"/>
  <c r="F297" i="1" s="1"/>
  <c r="G278" i="1"/>
  <c r="G283" i="1" s="1"/>
  <c r="H278" i="1"/>
  <c r="H283" i="1" s="1"/>
  <c r="H297" i="1" s="1"/>
  <c r="I278" i="1"/>
  <c r="I283" i="1" s="1"/>
  <c r="I297" i="1" s="1"/>
  <c r="J278" i="1"/>
  <c r="J283" i="1" s="1"/>
  <c r="J297" i="1" s="1"/>
  <c r="K278" i="1"/>
  <c r="K283" i="1" s="1"/>
  <c r="K297" i="1" s="1"/>
  <c r="L278" i="1"/>
  <c r="L283" i="1" s="1"/>
  <c r="L297" i="1" s="1"/>
  <c r="M278" i="1"/>
  <c r="M283" i="1" s="1"/>
  <c r="M297" i="1" s="1"/>
  <c r="N278" i="1"/>
  <c r="N283" i="1" s="1"/>
  <c r="N297" i="1" s="1"/>
  <c r="O278" i="1"/>
  <c r="O283" i="1" s="1"/>
  <c r="P278" i="1"/>
  <c r="P283" i="1" s="1"/>
  <c r="P297" i="1" s="1"/>
  <c r="E278" i="1"/>
  <c r="E283" i="1" s="1"/>
  <c r="E297" i="1" s="1"/>
  <c r="E263" i="1"/>
  <c r="E266" i="1" s="1"/>
  <c r="F251" i="1"/>
  <c r="F258" i="1" s="1"/>
  <c r="G251" i="1"/>
  <c r="G258" i="1" s="1"/>
  <c r="H251" i="1"/>
  <c r="H258" i="1" s="1"/>
  <c r="I251" i="1"/>
  <c r="I258" i="1" s="1"/>
  <c r="J251" i="1"/>
  <c r="J258" i="1" s="1"/>
  <c r="K251" i="1"/>
  <c r="K258" i="1" s="1"/>
  <c r="L251" i="1"/>
  <c r="L258" i="1" s="1"/>
  <c r="M251" i="1"/>
  <c r="M258" i="1" s="1"/>
  <c r="N251" i="1"/>
  <c r="N258" i="1" s="1"/>
  <c r="O251" i="1"/>
  <c r="O258" i="1" s="1"/>
  <c r="P251" i="1"/>
  <c r="P258" i="1" s="1"/>
  <c r="E251" i="1"/>
  <c r="E258" i="1" s="1"/>
  <c r="F217" i="1"/>
  <c r="F225" i="1" s="1"/>
  <c r="G217" i="1"/>
  <c r="G225" i="1" s="1"/>
  <c r="H217" i="1"/>
  <c r="H225" i="1" s="1"/>
  <c r="I217" i="1"/>
  <c r="I225" i="1" s="1"/>
  <c r="J217" i="1"/>
  <c r="J225" i="1" s="1"/>
  <c r="K217" i="1"/>
  <c r="K225" i="1" s="1"/>
  <c r="L217" i="1"/>
  <c r="L225" i="1" s="1"/>
  <c r="M217" i="1"/>
  <c r="M225" i="1" s="1"/>
  <c r="N217" i="1"/>
  <c r="N225" i="1" s="1"/>
  <c r="O217" i="1"/>
  <c r="O225" i="1" s="1"/>
  <c r="P217" i="1"/>
  <c r="P225" i="1" s="1"/>
  <c r="E217" i="1"/>
  <c r="E225" i="1" s="1"/>
  <c r="F212" i="1"/>
  <c r="G212" i="1"/>
  <c r="H212" i="1"/>
  <c r="I212" i="1"/>
  <c r="J212" i="1"/>
  <c r="K212" i="1"/>
  <c r="L212" i="1"/>
  <c r="M212" i="1"/>
  <c r="N212" i="1"/>
  <c r="O212" i="1"/>
  <c r="P212" i="1"/>
  <c r="E212" i="1"/>
  <c r="F207" i="1"/>
  <c r="G207" i="1"/>
  <c r="H207" i="1"/>
  <c r="I207" i="1"/>
  <c r="J207" i="1"/>
  <c r="K207" i="1"/>
  <c r="L207" i="1"/>
  <c r="M207" i="1"/>
  <c r="N207" i="1"/>
  <c r="O207" i="1"/>
  <c r="P207" i="1"/>
  <c r="E207" i="1"/>
  <c r="F204" i="1"/>
  <c r="F213" i="1" s="1"/>
  <c r="G204" i="1"/>
  <c r="G213" i="1" s="1"/>
  <c r="G232" i="1" s="1"/>
  <c r="H204" i="1"/>
  <c r="H213" i="1" s="1"/>
  <c r="I204" i="1"/>
  <c r="I213" i="1" s="1"/>
  <c r="I232" i="1" s="1"/>
  <c r="J204" i="1"/>
  <c r="J213" i="1" s="1"/>
  <c r="K204" i="1"/>
  <c r="K213" i="1" s="1"/>
  <c r="K232" i="1" s="1"/>
  <c r="L204" i="1"/>
  <c r="L213" i="1" s="1"/>
  <c r="M204" i="1"/>
  <c r="M213" i="1" s="1"/>
  <c r="M232" i="1" s="1"/>
  <c r="N204" i="1"/>
  <c r="N213" i="1" s="1"/>
  <c r="O204" i="1"/>
  <c r="O213" i="1" s="1"/>
  <c r="P204" i="1"/>
  <c r="P213" i="1" s="1"/>
  <c r="E204" i="1"/>
  <c r="E213" i="1" s="1"/>
  <c r="F193" i="1"/>
  <c r="G193" i="1"/>
  <c r="H193" i="1"/>
  <c r="I193" i="1"/>
  <c r="J193" i="1"/>
  <c r="K193" i="1"/>
  <c r="L193" i="1"/>
  <c r="M193" i="1"/>
  <c r="N193" i="1"/>
  <c r="O193" i="1"/>
  <c r="P193" i="1"/>
  <c r="E193" i="1"/>
  <c r="E179" i="1"/>
  <c r="E188" i="1" s="1"/>
  <c r="F175" i="1"/>
  <c r="G175" i="1"/>
  <c r="H175" i="1"/>
  <c r="I175" i="1"/>
  <c r="J175" i="1"/>
  <c r="K175" i="1"/>
  <c r="L175" i="1"/>
  <c r="M175" i="1"/>
  <c r="N175" i="1"/>
  <c r="O175" i="1"/>
  <c r="P175" i="1"/>
  <c r="E175" i="1"/>
  <c r="F161" i="1"/>
  <c r="G161" i="1"/>
  <c r="H161" i="1"/>
  <c r="I161" i="1"/>
  <c r="J161" i="1"/>
  <c r="K161" i="1"/>
  <c r="L161" i="1"/>
  <c r="M161" i="1"/>
  <c r="N161" i="1"/>
  <c r="O161" i="1"/>
  <c r="P161" i="1"/>
  <c r="E161" i="1"/>
  <c r="F153" i="1"/>
  <c r="F157" i="1" s="1"/>
  <c r="G153" i="1"/>
  <c r="G157" i="1" s="1"/>
  <c r="H153" i="1"/>
  <c r="H157" i="1" s="1"/>
  <c r="I153" i="1"/>
  <c r="I157" i="1" s="1"/>
  <c r="J153" i="1"/>
  <c r="J157" i="1" s="1"/>
  <c r="K153" i="1"/>
  <c r="K157" i="1" s="1"/>
  <c r="L153" i="1"/>
  <c r="L157" i="1" s="1"/>
  <c r="M153" i="1"/>
  <c r="M157" i="1" s="1"/>
  <c r="N153" i="1"/>
  <c r="N157" i="1" s="1"/>
  <c r="O153" i="1"/>
  <c r="O157" i="1" s="1"/>
  <c r="E153" i="1"/>
  <c r="E157" i="1" s="1"/>
  <c r="F144" i="1"/>
  <c r="F146" i="1" s="1"/>
  <c r="G144" i="1"/>
  <c r="G146" i="1" s="1"/>
  <c r="H144" i="1"/>
  <c r="H146" i="1" s="1"/>
  <c r="I144" i="1"/>
  <c r="I146" i="1" s="1"/>
  <c r="J144" i="1"/>
  <c r="J146" i="1" s="1"/>
  <c r="K144" i="1"/>
  <c r="K146" i="1" s="1"/>
  <c r="L144" i="1"/>
  <c r="L146" i="1" s="1"/>
  <c r="M144" i="1"/>
  <c r="M146" i="1" s="1"/>
  <c r="N144" i="1"/>
  <c r="N146" i="1" s="1"/>
  <c r="O144" i="1"/>
  <c r="O146" i="1" s="1"/>
  <c r="P144" i="1"/>
  <c r="P146" i="1" s="1"/>
  <c r="E144" i="1"/>
  <c r="E146" i="1" s="1"/>
  <c r="F129" i="1"/>
  <c r="G129" i="1"/>
  <c r="H129" i="1"/>
  <c r="I129" i="1"/>
  <c r="J129" i="1"/>
  <c r="K129" i="1"/>
  <c r="L129" i="1"/>
  <c r="M129" i="1"/>
  <c r="N129" i="1"/>
  <c r="O129" i="1"/>
  <c r="P129" i="1"/>
  <c r="E129" i="1"/>
  <c r="F108" i="1"/>
  <c r="F113" i="1" s="1"/>
  <c r="F130" i="1" s="1"/>
  <c r="G108" i="1"/>
  <c r="G113" i="1" s="1"/>
  <c r="H108" i="1"/>
  <c r="H113" i="1" s="1"/>
  <c r="H130" i="1" s="1"/>
  <c r="I108" i="1"/>
  <c r="I113" i="1" s="1"/>
  <c r="J108" i="1"/>
  <c r="J113" i="1" s="1"/>
  <c r="J130" i="1" s="1"/>
  <c r="K108" i="1"/>
  <c r="K113" i="1" s="1"/>
  <c r="L108" i="1"/>
  <c r="L113" i="1" s="1"/>
  <c r="L130" i="1" s="1"/>
  <c r="M108" i="1"/>
  <c r="M113" i="1" s="1"/>
  <c r="M130" i="1" s="1"/>
  <c r="N108" i="1"/>
  <c r="N113" i="1" s="1"/>
  <c r="N130" i="1" s="1"/>
  <c r="O108" i="1"/>
  <c r="O113" i="1" s="1"/>
  <c r="P108" i="1"/>
  <c r="P113" i="1" s="1"/>
  <c r="P130" i="1" s="1"/>
  <c r="E108" i="1"/>
  <c r="E113" i="1" s="1"/>
  <c r="E130" i="1" s="1"/>
  <c r="F96" i="1"/>
  <c r="G96" i="1"/>
  <c r="H96" i="1"/>
  <c r="I96" i="1"/>
  <c r="J96" i="1"/>
  <c r="K96" i="1"/>
  <c r="L96" i="1"/>
  <c r="M96" i="1"/>
  <c r="N96" i="1"/>
  <c r="O96" i="1"/>
  <c r="P96" i="1"/>
  <c r="E96" i="1"/>
  <c r="F92" i="1"/>
  <c r="G92" i="1"/>
  <c r="H92" i="1"/>
  <c r="I92" i="1"/>
  <c r="J92" i="1"/>
  <c r="K92" i="1"/>
  <c r="L92" i="1"/>
  <c r="M92" i="1"/>
  <c r="N92" i="1"/>
  <c r="O92" i="1"/>
  <c r="E92" i="1"/>
  <c r="F76" i="1"/>
  <c r="F81" i="1" s="1"/>
  <c r="G76" i="1"/>
  <c r="G81" i="1" s="1"/>
  <c r="H76" i="1"/>
  <c r="H81" i="1" s="1"/>
  <c r="I76" i="1"/>
  <c r="I81" i="1" s="1"/>
  <c r="J76" i="1"/>
  <c r="J81" i="1" s="1"/>
  <c r="K76" i="1"/>
  <c r="K81" i="1" s="1"/>
  <c r="L76" i="1"/>
  <c r="L81" i="1" s="1"/>
  <c r="M76" i="1"/>
  <c r="M81" i="1" s="1"/>
  <c r="N76" i="1"/>
  <c r="N81" i="1" s="1"/>
  <c r="O76" i="1"/>
  <c r="O81" i="1" s="1"/>
  <c r="P76" i="1"/>
  <c r="P81" i="1" s="1"/>
  <c r="E76" i="1"/>
  <c r="E81" i="1" s="1"/>
  <c r="F64" i="1"/>
  <c r="G64" i="1"/>
  <c r="H64" i="1"/>
  <c r="I64" i="1"/>
  <c r="J64" i="1"/>
  <c r="K64" i="1"/>
  <c r="L64" i="1"/>
  <c r="M64" i="1"/>
  <c r="N64" i="1"/>
  <c r="O64" i="1"/>
  <c r="P64" i="1"/>
  <c r="E64" i="1"/>
  <c r="F29" i="1"/>
  <c r="G29" i="1"/>
  <c r="H29" i="1"/>
  <c r="I29" i="1"/>
  <c r="J29" i="1"/>
  <c r="K29" i="1"/>
  <c r="L29" i="1"/>
  <c r="M29" i="1"/>
  <c r="N29" i="1"/>
  <c r="O29" i="1"/>
  <c r="P29" i="1"/>
  <c r="E29" i="1"/>
  <c r="F13" i="1"/>
  <c r="G13" i="1"/>
  <c r="H13" i="1"/>
  <c r="I13" i="1"/>
  <c r="J13" i="1"/>
  <c r="K13" i="1"/>
  <c r="L13" i="1"/>
  <c r="M13" i="1"/>
  <c r="N13" i="1"/>
  <c r="O13" i="1"/>
  <c r="P13" i="1"/>
  <c r="E13" i="1"/>
  <c r="F317" i="1"/>
  <c r="G317" i="1"/>
  <c r="G327" i="1" s="1"/>
  <c r="H317" i="1"/>
  <c r="I317" i="1"/>
  <c r="J317" i="1"/>
  <c r="K317" i="1"/>
  <c r="K327" i="1" s="1"/>
  <c r="L317" i="1"/>
  <c r="M317" i="1"/>
  <c r="N317" i="1"/>
  <c r="O317" i="1"/>
  <c r="O327" i="1" s="1"/>
  <c r="P317" i="1"/>
  <c r="F308" i="1"/>
  <c r="F313" i="1" s="1"/>
  <c r="G308" i="1"/>
  <c r="G313" i="1" s="1"/>
  <c r="H308" i="1"/>
  <c r="H313" i="1" s="1"/>
  <c r="I308" i="1"/>
  <c r="I313" i="1" s="1"/>
  <c r="J308" i="1"/>
  <c r="J313" i="1" s="1"/>
  <c r="K308" i="1"/>
  <c r="K313" i="1" s="1"/>
  <c r="L308" i="1"/>
  <c r="L313" i="1" s="1"/>
  <c r="M308" i="1"/>
  <c r="M313" i="1" s="1"/>
  <c r="N308" i="1"/>
  <c r="N313" i="1" s="1"/>
  <c r="O308" i="1"/>
  <c r="O313" i="1" s="1"/>
  <c r="P308" i="1"/>
  <c r="P313" i="1" s="1"/>
  <c r="F263" i="1"/>
  <c r="F266" i="1" s="1"/>
  <c r="G263" i="1"/>
  <c r="G266" i="1" s="1"/>
  <c r="H263" i="1"/>
  <c r="H266" i="1" s="1"/>
  <c r="I263" i="1"/>
  <c r="I266" i="1" s="1"/>
  <c r="J263" i="1"/>
  <c r="J266" i="1" s="1"/>
  <c r="K263" i="1"/>
  <c r="K266" i="1" s="1"/>
  <c r="L263" i="1"/>
  <c r="L266" i="1" s="1"/>
  <c r="M263" i="1"/>
  <c r="M266" i="1" s="1"/>
  <c r="N263" i="1"/>
  <c r="N266" i="1" s="1"/>
  <c r="O263" i="1"/>
  <c r="O266" i="1" s="1"/>
  <c r="P263" i="1"/>
  <c r="P266" i="1" s="1"/>
  <c r="F179" i="1"/>
  <c r="F188" i="1" s="1"/>
  <c r="G179" i="1"/>
  <c r="G188" i="1" s="1"/>
  <c r="H179" i="1"/>
  <c r="H188" i="1" s="1"/>
  <c r="I179" i="1"/>
  <c r="I188" i="1" s="1"/>
  <c r="J179" i="1"/>
  <c r="J188" i="1" s="1"/>
  <c r="K179" i="1"/>
  <c r="K188" i="1" s="1"/>
  <c r="L179" i="1"/>
  <c r="L188" i="1" s="1"/>
  <c r="M179" i="1"/>
  <c r="M188" i="1" s="1"/>
  <c r="N179" i="1"/>
  <c r="N188" i="1" s="1"/>
  <c r="O179" i="1"/>
  <c r="O188" i="1" s="1"/>
  <c r="P179" i="1"/>
  <c r="P188" i="1" s="1"/>
  <c r="P153" i="1"/>
  <c r="P157" i="1" s="1"/>
  <c r="N327" i="1" l="1"/>
  <c r="J327" i="1"/>
  <c r="J333" i="1" s="1"/>
  <c r="F327" i="1"/>
  <c r="O130" i="1"/>
  <c r="K130" i="1"/>
  <c r="I130" i="1"/>
  <c r="G130" i="1"/>
  <c r="M327" i="1"/>
  <c r="M333" i="1" s="1"/>
  <c r="I327" i="1"/>
  <c r="P327" i="1"/>
  <c r="P333" i="1" s="1"/>
  <c r="L327" i="1"/>
  <c r="L333" i="1" s="1"/>
  <c r="H327" i="1"/>
  <c r="H333" i="1" s="1"/>
  <c r="F333" i="1"/>
  <c r="N333" i="1"/>
  <c r="E327" i="1"/>
  <c r="E333" i="1" s="1"/>
  <c r="G297" i="1"/>
  <c r="O297" i="1"/>
  <c r="O232" i="1"/>
  <c r="L162" i="1"/>
  <c r="N162" i="1"/>
  <c r="J162" i="1"/>
  <c r="H162" i="1"/>
  <c r="F162" i="1"/>
  <c r="I97" i="1"/>
  <c r="M97" i="1"/>
  <c r="E97" i="1"/>
  <c r="O97" i="1"/>
  <c r="K97" i="1"/>
  <c r="G97" i="1"/>
  <c r="E7" i="2" s="1"/>
  <c r="L97" i="1"/>
  <c r="H97" i="1"/>
  <c r="O162" i="1"/>
  <c r="K162" i="1"/>
  <c r="G162" i="1"/>
  <c r="N194" i="1"/>
  <c r="J194" i="1"/>
  <c r="F194" i="1"/>
  <c r="P232" i="1"/>
  <c r="L232" i="1"/>
  <c r="H232" i="1"/>
  <c r="P162" i="1"/>
  <c r="O194" i="1"/>
  <c r="K194" i="1"/>
  <c r="G194" i="1"/>
  <c r="N97" i="1"/>
  <c r="J97" i="1"/>
  <c r="F97" i="1"/>
  <c r="E162" i="1"/>
  <c r="M162" i="1"/>
  <c r="I162" i="1"/>
  <c r="P194" i="1"/>
  <c r="L194" i="1"/>
  <c r="H194" i="1"/>
  <c r="N232" i="1"/>
  <c r="J232" i="1"/>
  <c r="F232" i="1"/>
  <c r="E194" i="1"/>
  <c r="M194" i="1"/>
  <c r="I194" i="1"/>
  <c r="E267" i="1"/>
  <c r="E232" i="1"/>
  <c r="C11" i="2" s="1"/>
  <c r="M267" i="1"/>
  <c r="I267" i="1"/>
  <c r="I333" i="1"/>
  <c r="N267" i="1"/>
  <c r="J267" i="1"/>
  <c r="F267" i="1"/>
  <c r="O267" i="1"/>
  <c r="K267" i="1"/>
  <c r="G267" i="1"/>
  <c r="O333" i="1"/>
  <c r="K333" i="1"/>
  <c r="G333" i="1"/>
  <c r="P267" i="1"/>
  <c r="L267" i="1"/>
  <c r="H267" i="1"/>
  <c r="P92" i="1" l="1"/>
  <c r="P97" i="1" s="1"/>
  <c r="F17" i="1" l="1"/>
  <c r="F24" i="1" s="1"/>
  <c r="F30" i="1" s="1"/>
  <c r="G17" i="1"/>
  <c r="G24" i="1" s="1"/>
  <c r="G30" i="1" s="1"/>
  <c r="H17" i="1"/>
  <c r="H24" i="1" s="1"/>
  <c r="H30" i="1" s="1"/>
  <c r="I17" i="1"/>
  <c r="I24" i="1" s="1"/>
  <c r="I30" i="1" s="1"/>
  <c r="J17" i="1"/>
  <c r="J24" i="1" s="1"/>
  <c r="J30" i="1" s="1"/>
  <c r="K17" i="1"/>
  <c r="K24" i="1" s="1"/>
  <c r="K30" i="1" s="1"/>
  <c r="L17" i="1"/>
  <c r="L24" i="1" s="1"/>
  <c r="L30" i="1" s="1"/>
  <c r="M17" i="1"/>
  <c r="M24" i="1" s="1"/>
  <c r="M30" i="1" s="1"/>
  <c r="N17" i="1"/>
  <c r="N24" i="1" s="1"/>
  <c r="N30" i="1" s="1"/>
  <c r="O17" i="1"/>
  <c r="O24" i="1" s="1"/>
  <c r="O30" i="1" s="1"/>
  <c r="P17" i="1"/>
  <c r="P24" i="1" s="1"/>
  <c r="P30" i="1" s="1"/>
  <c r="E17" i="1"/>
  <c r="E24" i="1" s="1"/>
  <c r="E30" i="1" s="1"/>
  <c r="F43" i="1"/>
  <c r="G43" i="1"/>
  <c r="H43" i="1"/>
  <c r="I43" i="1"/>
  <c r="J43" i="1"/>
  <c r="K43" i="1"/>
  <c r="L43" i="1"/>
  <c r="M43" i="1"/>
  <c r="N43" i="1"/>
  <c r="O43" i="1"/>
  <c r="P43" i="1"/>
  <c r="E43" i="1"/>
  <c r="F47" i="1"/>
  <c r="G47" i="1"/>
  <c r="H47" i="1"/>
  <c r="I47" i="1"/>
  <c r="J47" i="1"/>
  <c r="K47" i="1"/>
  <c r="L47" i="1"/>
  <c r="M47" i="1"/>
  <c r="N47" i="1"/>
  <c r="O47" i="1"/>
  <c r="P47" i="1"/>
  <c r="E47" i="1"/>
  <c r="F52" i="1"/>
  <c r="G52" i="1"/>
  <c r="H52" i="1"/>
  <c r="I52" i="1"/>
  <c r="J52" i="1"/>
  <c r="K52" i="1"/>
  <c r="L52" i="1"/>
  <c r="M52" i="1"/>
  <c r="N52" i="1"/>
  <c r="O52" i="1"/>
  <c r="P52" i="1"/>
  <c r="E52" i="1"/>
  <c r="N48" i="1" l="1"/>
  <c r="J48" i="1"/>
  <c r="F48" i="1"/>
  <c r="O48" i="1"/>
  <c r="O65" i="1" s="1"/>
  <c r="K48" i="1"/>
  <c r="G48" i="1"/>
  <c r="P48" i="1"/>
  <c r="L48" i="1"/>
  <c r="H48" i="1"/>
  <c r="H65" i="1" s="1"/>
  <c r="E48" i="1"/>
  <c r="M48" i="1"/>
  <c r="I48" i="1"/>
  <c r="J15" i="8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65" i="1" l="1"/>
  <c r="L65" i="1"/>
  <c r="J65" i="1"/>
  <c r="M65" i="1"/>
  <c r="K65" i="1"/>
  <c r="E65" i="1"/>
  <c r="I65" i="1"/>
  <c r="P65" i="1"/>
  <c r="G65" i="1"/>
  <c r="E6" i="2" s="1"/>
  <c r="N65" i="1"/>
  <c r="F16" i="8"/>
  <c r="I16" i="8"/>
  <c r="G16" i="8"/>
  <c r="H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  <c r="D13" i="2" l="1"/>
  <c r="E13" i="2"/>
  <c r="G13" i="2"/>
  <c r="H13" i="2"/>
  <c r="J13" i="2"/>
  <c r="L13" i="2"/>
  <c r="M13" i="2"/>
  <c r="N13" i="2"/>
  <c r="F13" i="2"/>
  <c r="E9" i="2"/>
  <c r="D9" i="2" l="1"/>
  <c r="H10" i="2"/>
  <c r="D10" i="2"/>
  <c r="L8" i="2"/>
  <c r="H8" i="2"/>
  <c r="M8" i="2"/>
  <c r="M10" i="2"/>
  <c r="G10" i="2"/>
  <c r="L14" i="2"/>
  <c r="H14" i="2"/>
  <c r="I9" i="2"/>
  <c r="F9" i="2"/>
  <c r="L6" i="2"/>
  <c r="J12" i="2"/>
  <c r="F12" i="2"/>
  <c r="N14" i="2"/>
  <c r="M12" i="2"/>
  <c r="N8" i="2"/>
  <c r="F10" i="2"/>
  <c r="D12" i="2"/>
  <c r="H12" i="2"/>
  <c r="L12" i="2"/>
  <c r="D14" i="2"/>
  <c r="E8" i="2"/>
  <c r="N12" i="2"/>
  <c r="I11" i="2"/>
  <c r="I8" i="2"/>
  <c r="N10" i="2"/>
  <c r="D8" i="2"/>
  <c r="I14" i="2"/>
  <c r="I13" i="2"/>
  <c r="L10" i="2"/>
  <c r="F5" i="2"/>
  <c r="G11" i="2"/>
  <c r="N11" i="2"/>
  <c r="J11" i="2"/>
  <c r="F11" i="2"/>
  <c r="M11" i="2"/>
  <c r="L11" i="2"/>
  <c r="H11" i="2"/>
  <c r="D11" i="2"/>
  <c r="M9" i="2"/>
  <c r="N9" i="2"/>
  <c r="L9" i="2"/>
  <c r="J14" i="2"/>
  <c r="F14" i="2"/>
  <c r="H9" i="2"/>
  <c r="C5" i="2"/>
  <c r="E14" i="2"/>
  <c r="E11" i="2"/>
  <c r="J10" i="2"/>
  <c r="G12" i="2"/>
  <c r="N7" i="2"/>
  <c r="K14" i="2"/>
  <c r="L7" i="2"/>
  <c r="D6" i="2"/>
  <c r="K12" i="2"/>
  <c r="C10" i="2"/>
  <c r="M6" i="2"/>
  <c r="H6" i="2"/>
  <c r="K6" i="2"/>
  <c r="J6" i="2"/>
  <c r="I6" i="2"/>
  <c r="N5" i="2"/>
  <c r="M5" i="2"/>
  <c r="L5" i="2"/>
  <c r="K5" i="2"/>
  <c r="J5" i="2"/>
  <c r="H5" i="2"/>
  <c r="G5" i="2"/>
  <c r="E5" i="2"/>
  <c r="G14" i="2"/>
  <c r="K13" i="2"/>
  <c r="C13" i="2"/>
  <c r="I12" i="2"/>
  <c r="E12" i="2"/>
  <c r="C12" i="2"/>
  <c r="K9" i="2"/>
  <c r="C9" i="2"/>
  <c r="J9" i="2"/>
  <c r="G9" i="2"/>
  <c r="J8" i="2"/>
  <c r="F8" i="2"/>
  <c r="C14" i="2"/>
  <c r="M14" i="2"/>
  <c r="C8" i="2"/>
  <c r="K10" i="2"/>
  <c r="K8" i="2"/>
  <c r="K7" i="2"/>
  <c r="K11" i="2"/>
  <c r="N6" i="2"/>
  <c r="I5" i="2"/>
  <c r="G8" i="2"/>
  <c r="E10" i="2"/>
  <c r="I10" i="2"/>
  <c r="D5" i="2"/>
  <c r="L15" i="2" l="1"/>
  <c r="M7" i="2"/>
  <c r="M15" i="2" s="1"/>
  <c r="J7" i="2"/>
  <c r="J15" i="2" s="1"/>
  <c r="G6" i="2"/>
  <c r="G7" i="2"/>
  <c r="H7" i="2"/>
  <c r="H15" i="2" s="1"/>
  <c r="C6" i="2"/>
  <c r="D7" i="2"/>
  <c r="D15" i="2" s="1"/>
  <c r="F6" i="2"/>
  <c r="F7" i="2"/>
  <c r="E15" i="2"/>
  <c r="E17" i="2" s="1"/>
  <c r="I7" i="2"/>
  <c r="I15" i="2" s="1"/>
  <c r="N15" i="2"/>
  <c r="K15" i="2"/>
  <c r="E21" i="2" l="1"/>
  <c r="D21" i="2"/>
  <c r="R6" i="2"/>
  <c r="R7" i="2" s="1"/>
  <c r="S6" i="2"/>
  <c r="S7" i="2" s="1"/>
  <c r="G15" i="2"/>
  <c r="F15" i="2"/>
  <c r="T6" i="2" s="1"/>
  <c r="T7" i="2" s="1"/>
  <c r="C7" i="2"/>
  <c r="C15" i="2" l="1"/>
  <c r="Q6" i="2" l="1"/>
  <c r="Q7" i="2" s="1"/>
</calcChain>
</file>

<file path=xl/sharedStrings.xml><?xml version="1.0" encoding="utf-8"?>
<sst xmlns="http://schemas.openxmlformats.org/spreadsheetml/2006/main" count="980" uniqueCount="331">
  <si>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</si>
  <si>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</si>
  <si>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</si>
  <si>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</si>
  <si>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</si>
  <si>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</si>
  <si>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</si>
  <si>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</si>
  <si>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</si>
  <si>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</si>
  <si>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</si>
  <si>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</si>
  <si>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</si>
  <si>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</si>
  <si>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</si>
  <si>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</si>
  <si>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</si>
  <si>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</si>
  <si>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</si>
  <si>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</si>
  <si>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</si>
  <si>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</si>
  <si>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</si>
  <si>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</si>
  <si>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</si>
  <si>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</si>
  <si>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</si>
  <si>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</si>
  <si>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</si>
  <si>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Макароны с сыром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</si>
  <si>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</si>
  <si>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</si>
  <si>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</si>
  <si>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</si>
  <si>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</si>
  <si>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</si>
  <si>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</si>
  <si>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</si>
  <si>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</si>
  <si>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</si>
  <si>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</si>
  <si>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</si>
  <si>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</si>
  <si>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</si>
  <si>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</si>
  <si>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</si>
  <si>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</si>
  <si>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</si>
  <si>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</si>
  <si>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</si>
  <si>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Суп картофельный с горохом</t>
  </si>
  <si>
    <t>Компот из свежих плодов (яблок)</t>
  </si>
  <si>
    <t xml:space="preserve">Омлет натуральный </t>
  </si>
  <si>
    <t>Каша гречневая рассыпчатая</t>
  </si>
  <si>
    <t>Наггетсы куриные</t>
  </si>
  <si>
    <t>Кисель ягодный</t>
  </si>
  <si>
    <t>Какао с молоком</t>
  </si>
  <si>
    <t>Компот из фруктов и ягод с/м</t>
  </si>
  <si>
    <t>Компот из смеси сухофруктов</t>
  </si>
  <si>
    <t>54-3г-2020 [2]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</si>
  <si>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</si>
  <si>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</si>
  <si>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</si>
  <si>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</si>
  <si>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</si>
  <si>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</si>
  <si>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</si>
  <si>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</si>
  <si>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</si>
  <si>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</si>
  <si>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</si>
  <si>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</si>
  <si>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</si>
  <si>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</si>
  <si>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</si>
  <si>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</si>
  <si>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</si>
  <si>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</si>
  <si>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</si>
  <si>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</si>
  <si>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</si>
  <si>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</si>
  <si>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</si>
  <si>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</si>
  <si>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</si>
  <si>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</si>
  <si>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</si>
  <si>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</si>
  <si>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</si>
  <si>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</si>
  <si>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</si>
  <si>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</si>
  <si>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</si>
  <si>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</si>
  <si>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</si>
  <si>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</si>
  <si>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</si>
  <si>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</si>
  <si>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</si>
  <si>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</si>
  <si>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Среднесуточная норма 60% (завтрак, обед, полдник)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</si>
  <si>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</si>
  <si>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</si>
  <si>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</si>
  <si>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</si>
  <si>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</si>
  <si>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</si>
  <si>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</si>
  <si>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</si>
  <si>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</si>
  <si>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</si>
  <si>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Борщ с капустой и картофелем со сметаной</t>
  </si>
  <si>
    <r>
      <t>День:</t>
    </r>
    <r>
      <rPr>
        <sz val="14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</si>
  <si>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4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</si>
  <si>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4"/>
        <rFont val="Times New Roman"/>
        <family val="1"/>
        <charset val="204"/>
      </rPr>
      <t>1</t>
    </r>
  </si>
  <si>
    <r>
      <t xml:space="preserve">День: </t>
    </r>
    <r>
      <rPr>
        <sz val="14"/>
        <color theme="1"/>
        <rFont val="Times New Roman"/>
        <family val="1"/>
        <charset val="204"/>
      </rPr>
      <t>второй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</si>
  <si>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</si>
  <si>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</si>
  <si>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</si>
  <si>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</si>
  <si>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4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</si>
  <si>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4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</si>
  <si>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</si>
  <si>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</si>
  <si>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десятый</t>
    </r>
  </si>
  <si>
    <t>Солянка "Школьная"</t>
  </si>
  <si>
    <t>200/15/7</t>
  </si>
  <si>
    <t>200 /15</t>
  </si>
  <si>
    <t>Директор  ООО «Фабрика Социального питания»</t>
  </si>
  <si>
    <t>Огурец свежий</t>
  </si>
  <si>
    <t>Огурец соленый</t>
  </si>
  <si>
    <t>Фиш-кейк</t>
  </si>
  <si>
    <t>Суп картофельный с мясными фрикадельками</t>
  </si>
  <si>
    <t>Поджарка из свинины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</si>
  <si>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</si>
  <si>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</si>
  <si>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</si>
  <si>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</si>
  <si>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</si>
  <si>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</si>
  <si>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</si>
  <si>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</si>
  <si>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</si>
  <si>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</si>
  <si>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</si>
  <si>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</si>
  <si>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</si>
  <si>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</si>
  <si>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</si>
  <si>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</si>
  <si>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</si>
  <si>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</si>
  <si>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</si>
  <si>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</si>
  <si>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</si>
  <si>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</si>
  <si>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Йогурт фруктовый</t>
  </si>
  <si>
    <t>7.14</t>
  </si>
  <si>
    <t>Чай с сахаром и лимоном</t>
  </si>
  <si>
    <t>Плов из свинины</t>
  </si>
  <si>
    <t>Каша рисовая рассыпчатая</t>
  </si>
  <si>
    <t>Салат из запеченной свеклы</t>
  </si>
  <si>
    <t>Щи из свежей капусты с картофелем со сметаной</t>
  </si>
  <si>
    <t xml:space="preserve">Рыба, тушенная с овощами </t>
  </si>
  <si>
    <t>376 [4]</t>
  </si>
  <si>
    <t>251 [4]</t>
  </si>
  <si>
    <t>378 [1]</t>
  </si>
  <si>
    <t>54-1о-2020 [2]</t>
  </si>
  <si>
    <t>339 [5]</t>
  </si>
  <si>
    <t>102 [4]</t>
  </si>
  <si>
    <t>265 [4]</t>
  </si>
  <si>
    <t>88 [4]</t>
  </si>
  <si>
    <t>Среднее значение по группе:</t>
  </si>
  <si>
    <t>ТТК 7.7</t>
  </si>
  <si>
    <t>Фрукты (порц.)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</si>
  <si>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</si>
  <si>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</si>
  <si>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</si>
  <si>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</si>
  <si>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ТТК 7.8</t>
  </si>
  <si>
    <t>ТТК2.18</t>
  </si>
  <si>
    <t>ТТК 7.9</t>
  </si>
  <si>
    <t>ТТК 2.18</t>
  </si>
  <si>
    <t>ТТК 7.18</t>
  </si>
  <si>
    <t>ТТК 3.9</t>
  </si>
  <si>
    <t>ТТК 3.10</t>
  </si>
  <si>
    <t>ТТК 2.12</t>
  </si>
  <si>
    <t>ТТК 2.1</t>
  </si>
  <si>
    <t>ТТК 7.13</t>
  </si>
  <si>
    <t>ТТК 3.7</t>
  </si>
  <si>
    <t>ТТК 5.35</t>
  </si>
  <si>
    <t>ТТК 2.19</t>
  </si>
  <si>
    <t>ТТК 7.3</t>
  </si>
  <si>
    <t>ТТК 5.25</t>
  </si>
  <si>
    <t>ТТК 2.4</t>
  </si>
  <si>
    <t>ТТК 2.8</t>
  </si>
  <si>
    <t>ТТК 2.3</t>
  </si>
  <si>
    <t>ТТК 4.4</t>
  </si>
  <si>
    <t>ТТК 3.32</t>
  </si>
  <si>
    <t>ТТК 3.6</t>
  </si>
  <si>
    <t>ТТК 3.15</t>
  </si>
  <si>
    <t>ТТК 4.3</t>
  </si>
  <si>
    <t>ТТК 4.9</t>
  </si>
  <si>
    <t>ТТК 3.12</t>
  </si>
  <si>
    <t>ТТК 5.23</t>
  </si>
  <si>
    <t>ТТК 5.41</t>
  </si>
  <si>
    <t>МКУ "Управление образования Шебекинского  городского округа"</t>
  </si>
  <si>
    <t>_______________________Ивантеева Н.В.</t>
  </si>
  <si>
    <t>Вареники отварные с картофелем из п/ф со сметаной</t>
  </si>
  <si>
    <t>ТТК 5.24</t>
  </si>
  <si>
    <t>Омлет паровой с мясом</t>
  </si>
  <si>
    <t>14[4]</t>
  </si>
  <si>
    <t>173[4]</t>
  </si>
  <si>
    <t>ТТК 2.20</t>
  </si>
  <si>
    <t>Блинчики с начинкой из п/ф</t>
  </si>
  <si>
    <t xml:space="preserve">Пюре картофельное или </t>
  </si>
  <si>
    <t>ТТК 6.4</t>
  </si>
  <si>
    <t>Картофель по-деревенски</t>
  </si>
  <si>
    <t>Котлеты морковные с творогом, со сметанным соусом</t>
  </si>
  <si>
    <t>ТТК 5.7</t>
  </si>
  <si>
    <t>Суфле куриное, запеченое со сметаной</t>
  </si>
  <si>
    <t>Огурец свежий/</t>
  </si>
  <si>
    <t>Огурец солёный</t>
  </si>
  <si>
    <t xml:space="preserve">Сдобное булочное изделие пром. производства </t>
  </si>
  <si>
    <t>416[5]</t>
  </si>
  <si>
    <t>Оладьи с повидлом</t>
  </si>
  <si>
    <t>432[5]</t>
  </si>
  <si>
    <t>Запеканка творожно-рисовая, со сгущеным молоком</t>
  </si>
  <si>
    <t>7[4]</t>
  </si>
  <si>
    <t>Сыр (порциями)</t>
  </si>
  <si>
    <t>Чай "Каркаде"</t>
  </si>
  <si>
    <t>Каша вязкая молочная из овсяных хлопьев "Геркулес" с сахаром</t>
  </si>
  <si>
    <t>223[4]</t>
  </si>
  <si>
    <t>ТТК 3.34</t>
  </si>
  <si>
    <t>Буженина из свинины(порциями)/</t>
  </si>
  <si>
    <t>376[4]</t>
  </si>
  <si>
    <t>Салат из капусты белокачанной с огурцом/</t>
  </si>
  <si>
    <t>159[4]</t>
  </si>
  <si>
    <t>Драники картофельные со сметаной</t>
  </si>
  <si>
    <t>181[4]</t>
  </si>
  <si>
    <t>Каша жидкая молочная манная с сахаром</t>
  </si>
  <si>
    <t>182[4]</t>
  </si>
  <si>
    <t>Каша жидкая молочная рисовая с сахаром</t>
  </si>
  <si>
    <t xml:space="preserve">Молочный коктейль пром. производства или </t>
  </si>
  <si>
    <t>Кондитерское изделие пром. производства</t>
  </si>
  <si>
    <t>Масло шоколадное (порциями)</t>
  </si>
  <si>
    <t>Конд. изделие пром. производства</t>
  </si>
  <si>
    <t>Молоко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</si>
  <si>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</si>
  <si>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Руководитель управления образования администрации Яковлевского городского округа</t>
  </si>
  <si>
    <t xml:space="preserve">_____________________ Т.А.Золоторева </t>
  </si>
  <si>
    <t>"______"______________________2022</t>
  </si>
  <si>
    <t xml:space="preserve">Яковлевского городского  округа </t>
  </si>
  <si>
    <t xml:space="preserve">для муниципального бюджетного общеобразовательного учреждения </t>
  </si>
  <si>
    <t xml:space="preserve">"Средняя общеобразовательная школа №3" </t>
  </si>
  <si>
    <t>Директор МБОУ СОШ №13</t>
  </si>
  <si>
    <t>_____________________ Э.Ю. Дегтярева</t>
  </si>
  <si>
    <t>"______"________________________2022</t>
  </si>
  <si>
    <t>"Средняя общеобразовательная школа №13"</t>
  </si>
  <si>
    <t>Руководитель управления образования администрации Шебекинского городского округа</t>
  </si>
  <si>
    <t xml:space="preserve"> для возраста обучающихся 7-11 лет</t>
  </si>
  <si>
    <t xml:space="preserve">"Средняя общеобразовательная школа №49 </t>
  </si>
  <si>
    <t xml:space="preserve">с углубленным изучением отдельных предметов" </t>
  </si>
  <si>
    <t>г. Белгорода для возраста обучающихся 7-11 лет</t>
  </si>
  <si>
    <t>Директор МБОУ СОШ №3 г.Шебекино</t>
  </si>
  <si>
    <t>_____________________ Д.В. Груздев</t>
  </si>
  <si>
    <t>г. Шебекино для возраста обучающихся 7-11 лет</t>
  </si>
  <si>
    <t>Руководитель управления образования  г. Белгорода</t>
  </si>
  <si>
    <t xml:space="preserve">_____________________ И.А. Гричаникова </t>
  </si>
  <si>
    <t>г. Белгорода</t>
  </si>
  <si>
    <t>_____________________ Н.В. Ивантеева</t>
  </si>
  <si>
    <t xml:space="preserve"> для возраста обучающихся  7-11 лет </t>
  </si>
  <si>
    <t>Директор  ООО «Фабрика Социального питания 1»</t>
  </si>
  <si>
    <t>Пудинг молочный/</t>
  </si>
  <si>
    <t>Конд. изделие пром. Производства</t>
  </si>
  <si>
    <t>ТТК 376[4]</t>
  </si>
  <si>
    <t>_____________________ Э.Ю. Дегтярёва</t>
  </si>
  <si>
    <t xml:space="preserve">______________________________  </t>
  </si>
  <si>
    <t>Директор______________________</t>
  </si>
  <si>
    <t>г. Старого Оскола и Старооскольского городского округа</t>
  </si>
  <si>
    <t xml:space="preserve"> для возраста обучающихся с 7 до 11 лет </t>
  </si>
  <si>
    <t>2022-2023г.г.</t>
  </si>
  <si>
    <t xml:space="preserve"> _________________________ Д.С. Семикопенко </t>
  </si>
  <si>
    <t>"______"_________________________2022</t>
  </si>
  <si>
    <t xml:space="preserve">Наименование блюда </t>
  </si>
  <si>
    <t>Белгородской области</t>
  </si>
  <si>
    <t xml:space="preserve">г. Губкин и Губкинского района </t>
  </si>
  <si>
    <t>Суп картофельный с крупой (гречневой)</t>
  </si>
  <si>
    <t>ТТК 4.8</t>
  </si>
  <si>
    <t>ТТК 5.22</t>
  </si>
  <si>
    <t>Пельмени отварные с маслом сливочным</t>
  </si>
  <si>
    <t>Спагетти с мясным соусом</t>
  </si>
  <si>
    <t>ТТК 3.5</t>
  </si>
  <si>
    <t>Кукуруза консервированная</t>
  </si>
  <si>
    <t>ТТК 5.10</t>
  </si>
  <si>
    <t>Котлеты куриные</t>
  </si>
  <si>
    <t>Салат из свеклы с сыром</t>
  </si>
  <si>
    <t>ТК 3.22</t>
  </si>
  <si>
    <t>ТТК 5.9</t>
  </si>
  <si>
    <t xml:space="preserve">Зразы «Солнышко» </t>
  </si>
  <si>
    <t>ТТК 3.30</t>
  </si>
  <si>
    <t>Котлеты "Нежные"</t>
  </si>
  <si>
    <t>ТТК 5.12</t>
  </si>
  <si>
    <t>Макаронные изделия отварные</t>
  </si>
  <si>
    <t>ТТК 6.7</t>
  </si>
  <si>
    <t>ТТК 4.11</t>
  </si>
  <si>
    <r>
      <t>Возрастная категория:</t>
    </r>
    <r>
      <rPr>
        <sz val="14"/>
        <color theme="1"/>
        <rFont val="Times New Roman"/>
        <family val="1"/>
        <charset val="204"/>
      </rPr>
      <t xml:space="preserve"> 12 лет и старше</t>
    </r>
  </si>
  <si>
    <t>200 /5</t>
  </si>
  <si>
    <t>100 /180</t>
  </si>
  <si>
    <t>100 /15</t>
  </si>
  <si>
    <t>200 /10</t>
  </si>
  <si>
    <t>Помидор свежий или</t>
  </si>
  <si>
    <t>280 / 5</t>
  </si>
  <si>
    <t>250 /25</t>
  </si>
  <si>
    <t>Салат из капусты белокочанной с морковью</t>
  </si>
  <si>
    <t>81[4]</t>
  </si>
  <si>
    <t>250 /10</t>
  </si>
  <si>
    <t>100 /30</t>
  </si>
  <si>
    <t>102[4]</t>
  </si>
  <si>
    <t>Салат из цветной капусты и соленого огурца</t>
  </si>
  <si>
    <t>Суп лапша по-домашнему</t>
  </si>
  <si>
    <t>250/10</t>
  </si>
  <si>
    <t>Пюре картофельное /</t>
  </si>
  <si>
    <t xml:space="preserve"> для возраста обучающихся с 12 лет и старше</t>
  </si>
  <si>
    <t>Сэндвич Школьный</t>
  </si>
  <si>
    <t>ТТК 5.45</t>
  </si>
  <si>
    <t>Мясо тушеное (филе куриное)</t>
  </si>
  <si>
    <t>100/30</t>
  </si>
  <si>
    <t>Помидор солёный</t>
  </si>
  <si>
    <t xml:space="preserve">Оладьи со сметанным соусом </t>
  </si>
  <si>
    <t>Ген. директор  ООО «Фабрика Социального питания 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</si>
</sst>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2" fontId="5" fillId="0" borderId="0" xfId="0" applyNumberFormat="1" applyFont="1"/>
    <xf numFmtId="2" fontId="2" fillId="0" borderId="8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2" fontId="13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vertical="top" wrapText="1"/>
    </xf>
    <xf numFmtId="2" fontId="12" fillId="0" borderId="13" xfId="0" applyNumberFormat="1" applyFont="1" applyBorder="1" applyAlignment="1">
      <alignment horizontal="center" wrapText="1"/>
    </xf>
    <xf numFmtId="2" fontId="13" fillId="0" borderId="0" xfId="0" applyNumberFormat="1" applyFont="1" applyAlignment="1">
      <alignment vertical="center"/>
    </xf>
    <xf numFmtId="2" fontId="13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2" fontId="17" fillId="2" borderId="1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/>
    <xf numFmtId="2" fontId="14" fillId="2" borderId="1" xfId="0" applyNumberFormat="1" applyFont="1" applyFill="1" applyBorder="1" applyAlignment="1">
      <alignment horizontal="left" vertical="center" wrapText="1"/>
    </xf>
    <xf numFmtId="2" fontId="14" fillId="2" borderId="0" xfId="0" applyNumberFormat="1" applyFont="1" applyFill="1"/>
    <xf numFmtId="2" fontId="9" fillId="0" borderId="0" xfId="0" applyNumberFormat="1" applyFont="1" applyAlignment="1">
      <alignment vertical="center"/>
    </xf>
    <xf numFmtId="2" fontId="14" fillId="2" borderId="1" xfId="0" applyNumberFormat="1" applyFont="1" applyFill="1" applyBorder="1" applyAlignment="1">
      <alignment vertical="center" wrapText="1"/>
    </xf>
    <xf numFmtId="2" fontId="14" fillId="2" borderId="0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vertical="center" wrapText="1"/>
    </xf>
    <xf numFmtId="2" fontId="14" fillId="2" borderId="16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Alignment="1">
      <alignment vertical="center"/>
    </xf>
    <xf numFmtId="1" fontId="14" fillId="2" borderId="0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vertical="center"/>
    </xf>
    <xf numFmtId="1" fontId="14" fillId="2" borderId="16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wrapText="1"/>
    </xf>
    <xf numFmtId="0" fontId="5" fillId="0" borderId="0" xfId="0" applyFont="1"/>
    <xf numFmtId="10" fontId="5" fillId="0" borderId="0" xfId="0" applyNumberFormat="1" applyFo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5" fillId="0" borderId="0" xfId="0" applyNumberFormat="1" applyFont="1"/>
    <xf numFmtId="0" fontId="5" fillId="0" borderId="13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/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3" fillId="2" borderId="14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4" fillId="2" borderId="15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2" fontId="2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1</xdr:row>
      <xdr:rowOff>220980</xdr:rowOff>
    </xdr:from>
    <xdr:ext cx="2343477" cy="2351097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5680" y="441960"/>
          <a:ext cx="2343477" cy="23510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341870" y="422910"/>
          <a:ext cx="1504950" cy="146303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1"/>
  <sheetViews>
    <sheetView view="pageBreakPreview" topLeftCell="A129" zoomScale="60" zoomScaleNormal="80" workbookViewId="0">
      <selection activeCell="B141" sqref="B141:D141"/>
    </sheetView>
  </sheetViews>
  <sheetFormatPr defaultRowHeight="15" x14ac:dyDescent="0.25"/>
  <cols>
    <col min="2" max="2" width="53.7109375" customWidth="1"/>
    <col min="3" max="3" width="42.85546875" customWidth="1"/>
    <col min="4" max="4" width="61.140625" customWidth="1"/>
  </cols>
  <sheetData>
    <row r="1" spans="1:4" ht="18.75" x14ac:dyDescent="0.25">
      <c r="A1" s="75"/>
      <c r="B1" s="76" t="s">
        <v>96</v>
      </c>
      <c r="C1" s="79"/>
      <c r="D1" s="76" t="s">
        <v>97</v>
      </c>
    </row>
    <row r="2" spans="1:4" ht="18.75" x14ac:dyDescent="0.25">
      <c r="A2" s="75"/>
      <c r="B2" s="77"/>
      <c r="C2" s="79"/>
      <c r="D2" s="76"/>
    </row>
    <row r="3" spans="1:4" ht="28.15" customHeight="1" x14ac:dyDescent="0.25">
      <c r="A3" s="75"/>
      <c r="B3" s="80"/>
      <c r="C3" s="83"/>
      <c r="D3" s="84" t="s">
        <v>272</v>
      </c>
    </row>
    <row r="4" spans="1:4" ht="52.15" customHeight="1" x14ac:dyDescent="0.25">
      <c r="A4" s="75"/>
      <c r="B4" s="80" t="s">
        <v>259</v>
      </c>
      <c r="C4" s="83"/>
      <c r="D4" s="84" t="s">
        <v>99</v>
      </c>
    </row>
    <row r="5" spans="1:4" ht="18.75" x14ac:dyDescent="0.25">
      <c r="A5" s="75"/>
      <c r="B5" s="85" t="s">
        <v>270</v>
      </c>
      <c r="C5" s="81"/>
      <c r="D5" s="103" t="s">
        <v>251</v>
      </c>
    </row>
    <row r="6" spans="1:4" ht="18.75" x14ac:dyDescent="0.3">
      <c r="A6" s="75"/>
      <c r="B6" s="14" t="s">
        <v>251</v>
      </c>
      <c r="C6" s="79"/>
      <c r="D6" s="78"/>
    </row>
    <row r="7" spans="1:4" ht="18.75" x14ac:dyDescent="0.25">
      <c r="A7" s="75"/>
      <c r="B7" s="75"/>
      <c r="C7" s="79"/>
      <c r="D7" s="78"/>
    </row>
    <row r="8" spans="1:4" s="75" customFormat="1" ht="18.75" x14ac:dyDescent="0.25">
      <c r="C8" s="79"/>
      <c r="D8" s="78"/>
    </row>
    <row r="9" spans="1:4" s="75" customFormat="1" ht="18.75" x14ac:dyDescent="0.25">
      <c r="C9" s="79"/>
      <c r="D9" s="78"/>
    </row>
    <row r="10" spans="1:4" s="75" customFormat="1" ht="18.75" x14ac:dyDescent="0.25">
      <c r="C10" s="79"/>
      <c r="D10" s="78"/>
    </row>
    <row r="11" spans="1:4" ht="18.75" x14ac:dyDescent="0.25">
      <c r="A11" s="75"/>
      <c r="B11" s="75"/>
      <c r="C11" s="79"/>
      <c r="D11" s="78"/>
    </row>
    <row r="12" spans="1:4" ht="25.5" x14ac:dyDescent="0.25">
      <c r="A12" s="75"/>
      <c r="B12" s="130" t="s">
        <v>98</v>
      </c>
      <c r="C12" s="130"/>
      <c r="D12" s="130"/>
    </row>
    <row r="13" spans="1:4" ht="25.5" x14ac:dyDescent="0.25">
      <c r="A13" s="75"/>
      <c r="B13" s="130" t="s">
        <v>176</v>
      </c>
      <c r="C13" s="130"/>
      <c r="D13" s="130"/>
    </row>
    <row r="14" spans="1:4" ht="25.5" x14ac:dyDescent="0.25">
      <c r="A14" s="75"/>
      <c r="B14" s="130" t="s">
        <v>177</v>
      </c>
      <c r="C14" s="130"/>
      <c r="D14" s="130"/>
    </row>
    <row r="15" spans="1:4" ht="25.5" x14ac:dyDescent="0.25">
      <c r="A15" s="75"/>
      <c r="B15" s="131" t="s">
        <v>178</v>
      </c>
      <c r="C15" s="131"/>
      <c r="D15" s="131"/>
    </row>
    <row r="16" spans="1:4" ht="18.75" x14ac:dyDescent="0.25">
      <c r="A16" s="75"/>
      <c r="B16" s="76"/>
      <c r="C16" s="79"/>
      <c r="D16" s="76"/>
    </row>
    <row r="17" spans="1:4" s="97" customFormat="1" ht="18.75" x14ac:dyDescent="0.25">
      <c r="B17" s="99"/>
      <c r="C17" s="102"/>
      <c r="D17" s="99"/>
    </row>
    <row r="18" spans="1:4" ht="25.5" x14ac:dyDescent="0.25">
      <c r="A18" s="75"/>
      <c r="B18" s="130"/>
      <c r="C18" s="130"/>
      <c r="D18" s="130"/>
    </row>
    <row r="19" spans="1:4" ht="18.75" x14ac:dyDescent="0.25">
      <c r="A19" s="75"/>
      <c r="B19" s="90" t="s">
        <v>96</v>
      </c>
      <c r="C19" s="91"/>
      <c r="D19" s="90" t="s">
        <v>97</v>
      </c>
    </row>
    <row r="20" spans="1:4" ht="56.25" x14ac:dyDescent="0.25">
      <c r="A20" s="75"/>
      <c r="B20" s="92" t="s">
        <v>249</v>
      </c>
      <c r="C20" s="91"/>
      <c r="D20" s="94" t="s">
        <v>128</v>
      </c>
    </row>
    <row r="21" spans="1:4" ht="18.75" x14ac:dyDescent="0.25">
      <c r="A21" s="75"/>
      <c r="B21" s="92" t="s">
        <v>250</v>
      </c>
      <c r="C21" s="93"/>
      <c r="D21" s="94" t="s">
        <v>99</v>
      </c>
    </row>
    <row r="22" spans="1:4" ht="18.75" x14ac:dyDescent="0.25">
      <c r="A22" s="75"/>
      <c r="B22" s="94" t="s">
        <v>251</v>
      </c>
      <c r="C22" s="93"/>
      <c r="D22" s="95" t="s">
        <v>175</v>
      </c>
    </row>
    <row r="23" spans="1:4" ht="18.75" x14ac:dyDescent="0.25">
      <c r="A23" s="75"/>
      <c r="B23" s="89"/>
      <c r="C23" s="91"/>
      <c r="D23" s="95"/>
    </row>
    <row r="24" spans="1:4" ht="18.75" x14ac:dyDescent="0.25">
      <c r="A24" s="75"/>
      <c r="B24" s="89"/>
      <c r="C24" s="91"/>
      <c r="D24" s="96"/>
    </row>
    <row r="25" spans="1:4" ht="18.75" x14ac:dyDescent="0.25">
      <c r="A25" s="75"/>
      <c r="B25" s="89"/>
      <c r="C25" s="91"/>
      <c r="D25" s="96"/>
    </row>
    <row r="26" spans="1:4" ht="18.75" x14ac:dyDescent="0.25">
      <c r="A26" s="75"/>
      <c r="B26" s="89"/>
      <c r="C26" s="91"/>
      <c r="D26" s="96"/>
    </row>
    <row r="27" spans="1:4" ht="25.5" x14ac:dyDescent="0.25">
      <c r="A27" s="75"/>
      <c r="B27" s="130" t="s">
        <v>98</v>
      </c>
      <c r="C27" s="130"/>
      <c r="D27" s="130"/>
    </row>
    <row r="28" spans="1:4" ht="25.5" x14ac:dyDescent="0.25">
      <c r="A28" s="75"/>
      <c r="B28" s="130" t="s">
        <v>176</v>
      </c>
      <c r="C28" s="130"/>
      <c r="D28" s="130"/>
    </row>
    <row r="29" spans="1:4" ht="25.5" x14ac:dyDescent="0.25">
      <c r="A29" s="75"/>
      <c r="B29" s="130" t="s">
        <v>252</v>
      </c>
      <c r="C29" s="130"/>
      <c r="D29" s="130"/>
    </row>
    <row r="30" spans="1:4" ht="25.5" x14ac:dyDescent="0.25">
      <c r="A30" s="75"/>
      <c r="B30" s="130" t="s">
        <v>271</v>
      </c>
      <c r="C30" s="130"/>
      <c r="D30" s="130"/>
    </row>
    <row r="31" spans="1:4" ht="25.5" x14ac:dyDescent="0.25">
      <c r="A31" s="75"/>
      <c r="B31" s="130"/>
      <c r="C31" s="130"/>
      <c r="D31" s="130"/>
    </row>
    <row r="32" spans="1:4" ht="25.5" x14ac:dyDescent="0.25">
      <c r="A32" s="75"/>
      <c r="B32" s="130"/>
      <c r="C32" s="130"/>
      <c r="D32" s="130"/>
    </row>
    <row r="33" spans="1:4" ht="18.75" x14ac:dyDescent="0.25">
      <c r="A33" s="75"/>
      <c r="B33" s="75"/>
      <c r="C33" s="79"/>
      <c r="D33" s="78"/>
    </row>
    <row r="34" spans="1:4" ht="18.75" x14ac:dyDescent="0.25">
      <c r="A34" s="89"/>
      <c r="B34" s="99" t="s">
        <v>96</v>
      </c>
      <c r="C34" s="102"/>
      <c r="D34" s="99" t="s">
        <v>97</v>
      </c>
    </row>
    <row r="35" spans="1:4" s="75" customFormat="1" ht="37.5" x14ac:dyDescent="0.25">
      <c r="A35" s="89"/>
      <c r="B35" s="100" t="s">
        <v>267</v>
      </c>
      <c r="C35" s="102"/>
      <c r="D35" s="103" t="s">
        <v>128</v>
      </c>
    </row>
    <row r="36" spans="1:4" s="75" customFormat="1" ht="37.5" x14ac:dyDescent="0.25">
      <c r="A36" s="89"/>
      <c r="B36" s="100" t="s">
        <v>268</v>
      </c>
      <c r="C36" s="104"/>
      <c r="D36" s="103" t="s">
        <v>99</v>
      </c>
    </row>
    <row r="37" spans="1:4" s="75" customFormat="1" ht="18.75" x14ac:dyDescent="0.25">
      <c r="A37" s="89"/>
      <c r="B37" s="103" t="s">
        <v>251</v>
      </c>
      <c r="C37" s="104"/>
      <c r="D37" s="103" t="s">
        <v>251</v>
      </c>
    </row>
    <row r="38" spans="1:4" ht="18.75" x14ac:dyDescent="0.25">
      <c r="A38" s="89"/>
      <c r="B38" s="97"/>
      <c r="C38" s="104"/>
      <c r="D38" s="105"/>
    </row>
    <row r="39" spans="1:4" s="97" customFormat="1" ht="18.75" x14ac:dyDescent="0.25">
      <c r="C39" s="104"/>
      <c r="D39" s="105"/>
    </row>
    <row r="40" spans="1:4" s="97" customFormat="1" ht="18.75" x14ac:dyDescent="0.25">
      <c r="C40" s="104"/>
      <c r="D40" s="105"/>
    </row>
    <row r="41" spans="1:4" s="97" customFormat="1" ht="18.75" x14ac:dyDescent="0.25">
      <c r="C41" s="104"/>
      <c r="D41" s="105"/>
    </row>
    <row r="42" spans="1:4" s="97" customFormat="1" ht="18.75" x14ac:dyDescent="0.25">
      <c r="C42" s="104"/>
      <c r="D42" s="105"/>
    </row>
    <row r="43" spans="1:4" ht="18.75" x14ac:dyDescent="0.25">
      <c r="A43" s="89"/>
      <c r="B43" s="97"/>
      <c r="C43" s="102"/>
      <c r="D43" s="101"/>
    </row>
    <row r="44" spans="1:4" ht="18.75" x14ac:dyDescent="0.25">
      <c r="A44" s="89"/>
      <c r="B44" s="97"/>
      <c r="C44" s="102"/>
      <c r="D44" s="101"/>
    </row>
    <row r="45" spans="1:4" ht="25.5" x14ac:dyDescent="0.25">
      <c r="A45" s="89"/>
      <c r="B45" s="130" t="s">
        <v>98</v>
      </c>
      <c r="C45" s="130"/>
      <c r="D45" s="130"/>
    </row>
    <row r="46" spans="1:4" ht="25.5" x14ac:dyDescent="0.25">
      <c r="A46" s="89"/>
      <c r="B46" s="130" t="s">
        <v>176</v>
      </c>
      <c r="C46" s="130"/>
      <c r="D46" s="130"/>
    </row>
    <row r="47" spans="1:4" ht="25.5" x14ac:dyDescent="0.25">
      <c r="A47" s="89"/>
      <c r="B47" s="130" t="s">
        <v>269</v>
      </c>
      <c r="C47" s="130"/>
      <c r="D47" s="130"/>
    </row>
    <row r="48" spans="1:4" ht="25.5" x14ac:dyDescent="0.25">
      <c r="A48" s="89"/>
      <c r="B48" s="130" t="s">
        <v>260</v>
      </c>
      <c r="C48" s="130"/>
      <c r="D48" s="130"/>
    </row>
    <row r="49" spans="1:4" s="97" customFormat="1" ht="25.5" x14ac:dyDescent="0.25">
      <c r="B49" s="108"/>
      <c r="C49" s="108"/>
      <c r="D49" s="108"/>
    </row>
    <row r="50" spans="1:4" s="97" customFormat="1" ht="25.5" x14ac:dyDescent="0.25">
      <c r="B50" s="107"/>
      <c r="C50" s="107"/>
      <c r="D50" s="107"/>
    </row>
    <row r="51" spans="1:4" s="97" customFormat="1" ht="25.5" x14ac:dyDescent="0.25">
      <c r="B51" s="108"/>
      <c r="C51" s="108"/>
      <c r="D51" s="108"/>
    </row>
    <row r="52" spans="1:4" ht="25.5" x14ac:dyDescent="0.25">
      <c r="A52" s="89"/>
      <c r="B52" s="130"/>
      <c r="C52" s="130"/>
      <c r="D52" s="130"/>
    </row>
    <row r="53" spans="1:4" ht="18.75" x14ac:dyDescent="0.25">
      <c r="A53" s="89"/>
      <c r="B53" s="99" t="s">
        <v>96</v>
      </c>
      <c r="C53" s="102"/>
      <c r="D53" s="99" t="s">
        <v>97</v>
      </c>
    </row>
    <row r="54" spans="1:4" ht="37.5" x14ac:dyDescent="0.25">
      <c r="A54" s="89"/>
      <c r="B54" s="100" t="s">
        <v>278</v>
      </c>
      <c r="C54" s="102"/>
      <c r="D54" s="103" t="s">
        <v>272</v>
      </c>
    </row>
    <row r="55" spans="1:4" ht="37.5" x14ac:dyDescent="0.25">
      <c r="A55" s="89"/>
      <c r="B55" s="100" t="s">
        <v>277</v>
      </c>
      <c r="C55" s="104"/>
      <c r="D55" s="103" t="s">
        <v>282</v>
      </c>
    </row>
    <row r="56" spans="1:4" ht="18.75" x14ac:dyDescent="0.25">
      <c r="A56" s="89"/>
      <c r="B56" s="103" t="s">
        <v>251</v>
      </c>
      <c r="C56" s="104"/>
      <c r="D56" s="103" t="s">
        <v>283</v>
      </c>
    </row>
    <row r="57" spans="1:4" ht="18.75" x14ac:dyDescent="0.25">
      <c r="A57" s="89"/>
      <c r="B57" s="97"/>
      <c r="C57" s="104"/>
      <c r="D57" s="105"/>
    </row>
    <row r="58" spans="1:4" s="97" customFormat="1" ht="18.75" x14ac:dyDescent="0.25">
      <c r="C58" s="104"/>
      <c r="D58" s="105"/>
    </row>
    <row r="59" spans="1:4" s="97" customFormat="1" ht="18.75" x14ac:dyDescent="0.25">
      <c r="C59" s="104"/>
      <c r="D59" s="105"/>
    </row>
    <row r="60" spans="1:4" s="97" customFormat="1" ht="18.75" x14ac:dyDescent="0.25">
      <c r="C60" s="104"/>
      <c r="D60" s="105"/>
    </row>
    <row r="61" spans="1:4" s="97" customFormat="1" ht="18.75" x14ac:dyDescent="0.25">
      <c r="C61" s="104"/>
      <c r="D61" s="105"/>
    </row>
    <row r="62" spans="1:4" ht="18.75" x14ac:dyDescent="0.25">
      <c r="A62" s="89"/>
      <c r="B62" s="97"/>
      <c r="C62" s="102"/>
      <c r="D62" s="101"/>
    </row>
    <row r="63" spans="1:4" s="97" customFormat="1" ht="18.75" x14ac:dyDescent="0.25">
      <c r="C63" s="102"/>
      <c r="D63" s="101"/>
    </row>
    <row r="64" spans="1:4" ht="18.75" x14ac:dyDescent="0.25">
      <c r="A64" s="89"/>
      <c r="B64" s="97"/>
      <c r="C64" s="102"/>
      <c r="D64" s="101"/>
    </row>
    <row r="65" spans="1:4" ht="25.5" x14ac:dyDescent="0.25">
      <c r="A65" s="89"/>
      <c r="B65" s="130" t="s">
        <v>98</v>
      </c>
      <c r="C65" s="130"/>
      <c r="D65" s="130"/>
    </row>
    <row r="66" spans="1:4" ht="25.5" x14ac:dyDescent="0.25">
      <c r="A66" s="89"/>
      <c r="B66" s="130" t="s">
        <v>176</v>
      </c>
      <c r="C66" s="130"/>
      <c r="D66" s="130"/>
    </row>
    <row r="67" spans="1:4" ht="25.5" x14ac:dyDescent="0.25">
      <c r="A67" s="89"/>
      <c r="B67" s="130" t="s">
        <v>279</v>
      </c>
      <c r="C67" s="130"/>
      <c r="D67" s="130"/>
    </row>
    <row r="68" spans="1:4" ht="25.5" x14ac:dyDescent="0.25">
      <c r="A68" s="89"/>
      <c r="B68" s="130" t="s">
        <v>280</v>
      </c>
      <c r="C68" s="130"/>
      <c r="D68" s="130"/>
    </row>
    <row r="69" spans="1:4" ht="25.5" x14ac:dyDescent="0.25">
      <c r="A69" s="89"/>
      <c r="B69" s="130"/>
      <c r="C69" s="130"/>
      <c r="D69" s="130"/>
    </row>
    <row r="70" spans="1:4" ht="25.5" x14ac:dyDescent="0.25">
      <c r="A70" s="89"/>
      <c r="B70" s="130"/>
      <c r="C70" s="130"/>
      <c r="D70" s="130"/>
    </row>
    <row r="71" spans="1:4" ht="18.75" x14ac:dyDescent="0.25">
      <c r="A71" s="89"/>
      <c r="B71" s="89"/>
      <c r="C71" s="91"/>
      <c r="D71" s="96"/>
    </row>
    <row r="72" spans="1:4" ht="18.75" x14ac:dyDescent="0.25">
      <c r="A72" s="89"/>
      <c r="B72" s="99"/>
      <c r="C72" s="99" t="s">
        <v>281</v>
      </c>
      <c r="D72" s="99"/>
    </row>
    <row r="73" spans="1:4" ht="18.75" x14ac:dyDescent="0.25">
      <c r="A73" s="89"/>
      <c r="B73" s="100"/>
      <c r="C73" s="102"/>
      <c r="D73" s="99"/>
    </row>
    <row r="74" spans="1:4" ht="18.75" x14ac:dyDescent="0.25">
      <c r="A74" s="89"/>
      <c r="B74" s="100"/>
      <c r="C74" s="104"/>
      <c r="D74" s="103"/>
    </row>
    <row r="75" spans="1:4" ht="18.75" x14ac:dyDescent="0.25">
      <c r="A75" s="89"/>
      <c r="B75" s="100"/>
      <c r="C75" s="104"/>
      <c r="D75" s="103"/>
    </row>
    <row r="76" spans="1:4" ht="18.75" x14ac:dyDescent="0.3">
      <c r="A76" s="89"/>
      <c r="B76" s="103"/>
      <c r="C76" s="104"/>
      <c r="D76" s="106"/>
    </row>
    <row r="77" spans="1:4" ht="18.75" x14ac:dyDescent="0.25">
      <c r="A77" s="89"/>
      <c r="B77" s="97"/>
      <c r="C77" s="102"/>
      <c r="D77" s="101"/>
    </row>
    <row r="78" spans="1:4" ht="18.75" x14ac:dyDescent="0.25">
      <c r="A78" s="89"/>
      <c r="B78" s="97"/>
      <c r="C78" s="102"/>
      <c r="D78" s="101"/>
    </row>
    <row r="79" spans="1:4" ht="18.75" x14ac:dyDescent="0.25">
      <c r="A79" s="89"/>
      <c r="B79" s="97"/>
      <c r="C79" s="102"/>
      <c r="D79" s="101"/>
    </row>
    <row r="80" spans="1:4" ht="18.75" x14ac:dyDescent="0.25">
      <c r="A80" s="89"/>
      <c r="B80" s="97"/>
      <c r="C80" s="102"/>
      <c r="D80" s="101"/>
    </row>
    <row r="81" spans="1:4" ht="18.75" x14ac:dyDescent="0.25">
      <c r="A81" s="89"/>
      <c r="B81" s="100"/>
      <c r="C81" s="99"/>
      <c r="D81" s="101"/>
    </row>
    <row r="82" spans="1:4" ht="26.25" x14ac:dyDescent="0.25">
      <c r="A82" s="89"/>
      <c r="B82" s="98"/>
      <c r="C82" s="97"/>
      <c r="D82" s="97"/>
    </row>
    <row r="83" spans="1:4" ht="25.5" x14ac:dyDescent="0.25">
      <c r="A83" s="89"/>
      <c r="B83" s="130" t="s">
        <v>98</v>
      </c>
      <c r="C83" s="130"/>
      <c r="D83" s="130"/>
    </row>
    <row r="84" spans="1:4" ht="25.5" x14ac:dyDescent="0.25">
      <c r="A84" s="89"/>
      <c r="B84" s="130" t="s">
        <v>253</v>
      </c>
      <c r="C84" s="130"/>
      <c r="D84" s="130"/>
    </row>
    <row r="85" spans="1:4" ht="25.5" x14ac:dyDescent="0.25">
      <c r="A85" s="89"/>
      <c r="B85" s="130" t="s">
        <v>261</v>
      </c>
      <c r="C85" s="130"/>
      <c r="D85" s="130"/>
    </row>
    <row r="86" spans="1:4" ht="25.5" x14ac:dyDescent="0.25">
      <c r="A86" s="89"/>
      <c r="B86" s="130" t="s">
        <v>262</v>
      </c>
      <c r="C86" s="130"/>
      <c r="D86" s="130"/>
    </row>
    <row r="87" spans="1:4" ht="25.5" x14ac:dyDescent="0.25">
      <c r="A87" s="89"/>
      <c r="B87" s="130" t="s">
        <v>263</v>
      </c>
      <c r="C87" s="130"/>
      <c r="D87" s="130"/>
    </row>
    <row r="88" spans="1:4" s="97" customFormat="1" ht="25.5" x14ac:dyDescent="0.25">
      <c r="B88" s="109"/>
      <c r="C88" s="109"/>
      <c r="D88" s="109"/>
    </row>
    <row r="89" spans="1:4" ht="18.75" x14ac:dyDescent="0.25">
      <c r="A89" s="89"/>
      <c r="B89" s="99" t="s">
        <v>96</v>
      </c>
      <c r="C89" s="97"/>
      <c r="D89" s="99" t="s">
        <v>96</v>
      </c>
    </row>
    <row r="90" spans="1:4" x14ac:dyDescent="0.25">
      <c r="A90" s="89"/>
      <c r="B90" s="97"/>
      <c r="C90" s="97"/>
      <c r="D90" s="97"/>
    </row>
    <row r="91" spans="1:4" ht="18.75" x14ac:dyDescent="0.25">
      <c r="A91" s="89"/>
      <c r="B91" s="100" t="s">
        <v>264</v>
      </c>
      <c r="C91" s="104"/>
      <c r="D91" s="103" t="s">
        <v>128</v>
      </c>
    </row>
    <row r="92" spans="1:4" ht="18.75" x14ac:dyDescent="0.25">
      <c r="A92" s="89"/>
      <c r="B92" s="100" t="s">
        <v>276</v>
      </c>
      <c r="C92" s="104"/>
      <c r="D92" s="103" t="s">
        <v>99</v>
      </c>
    </row>
    <row r="93" spans="1:4" ht="18.75" x14ac:dyDescent="0.3">
      <c r="A93" s="89"/>
      <c r="B93" s="103" t="s">
        <v>251</v>
      </c>
      <c r="C93" s="104"/>
      <c r="D93" s="106" t="s">
        <v>257</v>
      </c>
    </row>
    <row r="94" spans="1:4" ht="18.75" x14ac:dyDescent="0.25">
      <c r="A94" s="89"/>
      <c r="B94" s="97"/>
      <c r="C94" s="102"/>
      <c r="D94" s="101"/>
    </row>
    <row r="95" spans="1:4" ht="18.75" x14ac:dyDescent="0.25">
      <c r="A95" s="89"/>
      <c r="B95" s="97"/>
      <c r="C95" s="102"/>
      <c r="D95" s="101"/>
    </row>
    <row r="96" spans="1:4" ht="18.75" x14ac:dyDescent="0.25">
      <c r="A96" s="89"/>
      <c r="B96" s="97"/>
      <c r="C96" s="102"/>
      <c r="D96" s="101"/>
    </row>
    <row r="97" spans="1:4" ht="18.75" x14ac:dyDescent="0.25">
      <c r="A97" s="89"/>
      <c r="B97" s="97"/>
      <c r="C97" s="102"/>
      <c r="D97" s="101"/>
    </row>
    <row r="98" spans="1:4" ht="18.75" x14ac:dyDescent="0.25">
      <c r="A98" s="89"/>
      <c r="B98" s="100"/>
      <c r="C98" s="99"/>
      <c r="D98" s="101"/>
    </row>
    <row r="99" spans="1:4" ht="26.25" x14ac:dyDescent="0.25">
      <c r="A99" s="89"/>
      <c r="B99" s="98"/>
      <c r="C99" s="97"/>
      <c r="D99" s="97"/>
    </row>
    <row r="100" spans="1:4" ht="25.5" x14ac:dyDescent="0.25">
      <c r="A100" s="89"/>
      <c r="B100" s="130" t="s">
        <v>98</v>
      </c>
      <c r="C100" s="130"/>
      <c r="D100" s="130"/>
    </row>
    <row r="101" spans="1:4" ht="25.5" x14ac:dyDescent="0.25">
      <c r="A101" s="89"/>
      <c r="B101" s="130" t="s">
        <v>253</v>
      </c>
      <c r="C101" s="130"/>
      <c r="D101" s="130"/>
    </row>
    <row r="102" spans="1:4" ht="25.5" x14ac:dyDescent="0.25">
      <c r="A102" s="89"/>
      <c r="B102" s="130" t="s">
        <v>254</v>
      </c>
      <c r="C102" s="130"/>
      <c r="D102" s="130"/>
    </row>
    <row r="103" spans="1:4" ht="25.5" x14ac:dyDescent="0.25">
      <c r="A103" s="89"/>
      <c r="B103" s="130" t="s">
        <v>266</v>
      </c>
      <c r="C103" s="130"/>
      <c r="D103" s="130"/>
    </row>
    <row r="104" spans="1:4" x14ac:dyDescent="0.25">
      <c r="A104" s="89"/>
      <c r="B104" s="97"/>
      <c r="C104" s="97"/>
      <c r="D104" s="97"/>
    </row>
    <row r="105" spans="1:4" ht="18.75" x14ac:dyDescent="0.25">
      <c r="A105" s="89"/>
      <c r="B105" s="99" t="s">
        <v>96</v>
      </c>
      <c r="C105" s="102"/>
      <c r="D105" s="99" t="s">
        <v>97</v>
      </c>
    </row>
    <row r="106" spans="1:4" ht="18.75" x14ac:dyDescent="0.25">
      <c r="A106" s="89"/>
      <c r="B106" s="100"/>
      <c r="C106" s="102"/>
      <c r="D106" s="99"/>
    </row>
    <row r="107" spans="1:4" ht="18.75" x14ac:dyDescent="0.25">
      <c r="A107" s="89"/>
      <c r="B107" s="100" t="s">
        <v>255</v>
      </c>
      <c r="C107" s="104"/>
      <c r="D107" s="103" t="s">
        <v>128</v>
      </c>
    </row>
    <row r="108" spans="1:4" ht="18.75" x14ac:dyDescent="0.25">
      <c r="A108" s="89"/>
      <c r="B108" s="100" t="s">
        <v>256</v>
      </c>
      <c r="C108" s="104"/>
      <c r="D108" s="103" t="s">
        <v>99</v>
      </c>
    </row>
    <row r="109" spans="1:4" ht="18.75" x14ac:dyDescent="0.3">
      <c r="A109" s="89"/>
      <c r="B109" s="103" t="s">
        <v>251</v>
      </c>
      <c r="C109" s="104"/>
      <c r="D109" s="106" t="s">
        <v>257</v>
      </c>
    </row>
    <row r="110" spans="1:4" ht="18.75" x14ac:dyDescent="0.25">
      <c r="A110" s="89"/>
      <c r="B110" s="97"/>
      <c r="C110" s="102"/>
      <c r="D110" s="101"/>
    </row>
    <row r="111" spans="1:4" ht="18.75" x14ac:dyDescent="0.25">
      <c r="A111" s="89"/>
      <c r="B111" s="97"/>
      <c r="C111" s="102"/>
      <c r="D111" s="101"/>
    </row>
    <row r="112" spans="1:4" ht="18.75" x14ac:dyDescent="0.25">
      <c r="A112" s="89"/>
      <c r="B112" s="97"/>
      <c r="C112" s="102"/>
      <c r="D112" s="101"/>
    </row>
    <row r="113" spans="1:4" ht="18.75" x14ac:dyDescent="0.25">
      <c r="A113" s="89"/>
      <c r="B113" s="97"/>
      <c r="C113" s="102"/>
      <c r="D113" s="101"/>
    </row>
    <row r="114" spans="1:4" ht="18.75" x14ac:dyDescent="0.25">
      <c r="A114" s="89"/>
      <c r="B114" s="100"/>
      <c r="C114" s="99"/>
      <c r="D114" s="101"/>
    </row>
    <row r="115" spans="1:4" ht="26.25" x14ac:dyDescent="0.25">
      <c r="A115" s="89"/>
      <c r="B115" s="98"/>
      <c r="C115" s="97"/>
      <c r="D115" s="97"/>
    </row>
    <row r="116" spans="1:4" ht="25.5" x14ac:dyDescent="0.25">
      <c r="A116" s="89"/>
      <c r="B116" s="130" t="s">
        <v>98</v>
      </c>
      <c r="C116" s="130"/>
      <c r="D116" s="130"/>
    </row>
    <row r="117" spans="1:4" ht="25.5" x14ac:dyDescent="0.25">
      <c r="A117" s="89"/>
      <c r="B117" s="130" t="s">
        <v>253</v>
      </c>
      <c r="C117" s="130"/>
      <c r="D117" s="130"/>
    </row>
    <row r="118" spans="1:4" ht="25.5" x14ac:dyDescent="0.25">
      <c r="A118" s="89"/>
      <c r="B118" s="130" t="s">
        <v>258</v>
      </c>
      <c r="C118" s="130"/>
      <c r="D118" s="130"/>
    </row>
    <row r="119" spans="1:4" ht="25.5" x14ac:dyDescent="0.25">
      <c r="A119" s="89"/>
      <c r="B119" s="130" t="s">
        <v>263</v>
      </c>
      <c r="C119" s="130"/>
      <c r="D119" s="130"/>
    </row>
    <row r="120" spans="1:4" x14ac:dyDescent="0.25">
      <c r="A120" s="89"/>
      <c r="B120" s="97"/>
      <c r="C120" s="97"/>
      <c r="D120" s="97"/>
    </row>
    <row r="121" spans="1:4" x14ac:dyDescent="0.25">
      <c r="A121" s="89"/>
      <c r="B121" s="97"/>
      <c r="C121" s="97"/>
      <c r="D121" s="97"/>
    </row>
    <row r="122" spans="1:4" ht="18.75" x14ac:dyDescent="0.25">
      <c r="A122" s="89"/>
      <c r="B122" s="100" t="s">
        <v>264</v>
      </c>
      <c r="C122" s="104"/>
      <c r="D122" s="103" t="s">
        <v>128</v>
      </c>
    </row>
    <row r="123" spans="1:4" ht="18.75" x14ac:dyDescent="0.25">
      <c r="A123" s="89"/>
      <c r="B123" s="100" t="s">
        <v>265</v>
      </c>
      <c r="C123" s="104"/>
      <c r="D123" s="103" t="s">
        <v>99</v>
      </c>
    </row>
    <row r="124" spans="1:4" ht="18.75" x14ac:dyDescent="0.3">
      <c r="A124" s="89"/>
      <c r="B124" s="103" t="s">
        <v>251</v>
      </c>
      <c r="C124" s="104"/>
      <c r="D124" s="106" t="s">
        <v>257</v>
      </c>
    </row>
    <row r="125" spans="1:4" ht="18.75" x14ac:dyDescent="0.25">
      <c r="A125" s="89"/>
      <c r="B125" s="97"/>
      <c r="C125" s="102"/>
      <c r="D125" s="101"/>
    </row>
    <row r="126" spans="1:4" ht="18.75" x14ac:dyDescent="0.25">
      <c r="A126" s="89"/>
      <c r="B126" s="97"/>
      <c r="C126" s="102"/>
      <c r="D126" s="101"/>
    </row>
    <row r="127" spans="1:4" ht="18.75" x14ac:dyDescent="0.25">
      <c r="A127" s="89"/>
      <c r="B127" s="97"/>
      <c r="C127" s="102"/>
      <c r="D127" s="101"/>
    </row>
    <row r="128" spans="1:4" ht="18.75" x14ac:dyDescent="0.25">
      <c r="A128" s="89"/>
      <c r="B128" s="97"/>
      <c r="C128" s="102"/>
      <c r="D128" s="101"/>
    </row>
    <row r="129" spans="1:4" ht="18.75" x14ac:dyDescent="0.25">
      <c r="A129" s="89"/>
      <c r="B129" s="100"/>
      <c r="C129" s="99"/>
      <c r="D129" s="101"/>
    </row>
    <row r="130" spans="1:4" ht="18.75" x14ac:dyDescent="0.25">
      <c r="A130" s="97"/>
      <c r="B130" s="99" t="s">
        <v>96</v>
      </c>
      <c r="C130" s="102"/>
      <c r="D130" s="99" t="s">
        <v>97</v>
      </c>
    </row>
    <row r="131" spans="1:4" ht="37.5" x14ac:dyDescent="0.25">
      <c r="A131" s="97"/>
      <c r="B131" s="100" t="s">
        <v>278</v>
      </c>
      <c r="C131" s="102"/>
      <c r="D131" s="103" t="s">
        <v>330</v>
      </c>
    </row>
    <row r="132" spans="1:4" ht="37.5" x14ac:dyDescent="0.25">
      <c r="A132" s="97"/>
      <c r="B132" s="100" t="s">
        <v>277</v>
      </c>
      <c r="C132" s="104"/>
      <c r="D132" s="103" t="s">
        <v>282</v>
      </c>
    </row>
    <row r="133" spans="1:4" ht="18.75" x14ac:dyDescent="0.25">
      <c r="A133" s="97"/>
      <c r="B133" s="103" t="s">
        <v>251</v>
      </c>
      <c r="C133" s="104"/>
      <c r="D133" s="103" t="s">
        <v>283</v>
      </c>
    </row>
    <row r="134" spans="1:4" ht="18.75" x14ac:dyDescent="0.25">
      <c r="A134" s="97"/>
      <c r="B134" s="97"/>
      <c r="C134" s="104"/>
      <c r="D134" s="105"/>
    </row>
    <row r="135" spans="1:4" ht="18.75" x14ac:dyDescent="0.25">
      <c r="A135" s="97"/>
      <c r="B135" s="97"/>
      <c r="C135" s="102"/>
      <c r="D135" s="101"/>
    </row>
    <row r="136" spans="1:4" ht="18.75" x14ac:dyDescent="0.25">
      <c r="A136" s="97"/>
      <c r="B136" s="97"/>
      <c r="C136" s="102"/>
      <c r="D136" s="101"/>
    </row>
    <row r="137" spans="1:4" ht="18.75" x14ac:dyDescent="0.25">
      <c r="A137" s="97"/>
      <c r="B137" s="97"/>
      <c r="C137" s="102"/>
      <c r="D137" s="101"/>
    </row>
    <row r="138" spans="1:4" ht="25.5" x14ac:dyDescent="0.25">
      <c r="A138" s="97"/>
      <c r="B138" s="130" t="s">
        <v>98</v>
      </c>
      <c r="C138" s="130"/>
      <c r="D138" s="130"/>
    </row>
    <row r="139" spans="1:4" ht="25.5" x14ac:dyDescent="0.25">
      <c r="A139" s="97"/>
      <c r="B139" s="130" t="s">
        <v>176</v>
      </c>
      <c r="C139" s="130"/>
      <c r="D139" s="130"/>
    </row>
    <row r="140" spans="1:4" ht="25.5" x14ac:dyDescent="0.25">
      <c r="A140" s="97"/>
      <c r="B140" s="130" t="s">
        <v>286</v>
      </c>
      <c r="C140" s="130"/>
      <c r="D140" s="130"/>
    </row>
    <row r="141" spans="1:4" ht="25.5" x14ac:dyDescent="0.25">
      <c r="A141" s="97"/>
      <c r="B141" s="130" t="s">
        <v>285</v>
      </c>
      <c r="C141" s="130"/>
      <c r="D141" s="130"/>
    </row>
    <row r="142" spans="1:4" ht="25.5" x14ac:dyDescent="0.25">
      <c r="A142" s="97"/>
      <c r="B142" s="130" t="s">
        <v>323</v>
      </c>
      <c r="C142" s="130"/>
      <c r="D142" s="130"/>
    </row>
    <row r="143" spans="1:4" ht="25.5" x14ac:dyDescent="0.25">
      <c r="A143" s="97"/>
      <c r="B143" s="130"/>
      <c r="C143" s="130"/>
      <c r="D143" s="130"/>
    </row>
    <row r="144" spans="1:4" ht="18.75" x14ac:dyDescent="0.25">
      <c r="A144" s="97"/>
      <c r="B144" s="97"/>
      <c r="C144" s="102"/>
      <c r="D144" s="101"/>
    </row>
    <row r="145" spans="1:4" ht="18.75" x14ac:dyDescent="0.25">
      <c r="A145" s="97"/>
      <c r="B145" s="99"/>
      <c r="C145" s="99" t="s">
        <v>281</v>
      </c>
      <c r="D145" s="99"/>
    </row>
    <row r="146" spans="1:4" ht="18.75" x14ac:dyDescent="0.25">
      <c r="A146" s="97"/>
      <c r="B146" s="100"/>
      <c r="C146" s="102"/>
      <c r="D146" s="99"/>
    </row>
    <row r="147" spans="1:4" ht="18.75" x14ac:dyDescent="0.25">
      <c r="A147" s="97"/>
      <c r="B147" s="100"/>
      <c r="C147" s="104"/>
      <c r="D147" s="103"/>
    </row>
    <row r="148" spans="1:4" x14ac:dyDescent="0.25">
      <c r="A148" s="89"/>
      <c r="B148" s="89"/>
      <c r="C148" s="89"/>
      <c r="D148" s="89"/>
    </row>
    <row r="149" spans="1:4" x14ac:dyDescent="0.25">
      <c r="A149" s="89"/>
      <c r="B149" s="89"/>
      <c r="C149" s="89"/>
      <c r="D149" s="89"/>
    </row>
    <row r="150" spans="1:4" x14ac:dyDescent="0.25">
      <c r="A150" s="89"/>
      <c r="B150" s="89"/>
      <c r="C150" s="89"/>
      <c r="D150" s="89"/>
    </row>
    <row r="151" spans="1:4" x14ac:dyDescent="0.25">
      <c r="A151" s="89"/>
      <c r="B151" s="89"/>
      <c r="C151" s="89"/>
      <c r="D151" s="89"/>
    </row>
    <row r="152" spans="1:4" x14ac:dyDescent="0.25">
      <c r="A152" s="89"/>
      <c r="B152" s="89"/>
      <c r="C152" s="89"/>
      <c r="D152" s="89"/>
    </row>
    <row r="153" spans="1:4" x14ac:dyDescent="0.25">
      <c r="A153" s="89"/>
      <c r="B153" s="89"/>
      <c r="C153" s="89"/>
      <c r="D153" s="89"/>
    </row>
    <row r="154" spans="1:4" x14ac:dyDescent="0.25">
      <c r="A154" s="89"/>
      <c r="B154" s="89"/>
      <c r="C154" s="89"/>
      <c r="D154" s="89"/>
    </row>
    <row r="155" spans="1:4" x14ac:dyDescent="0.25">
      <c r="A155" s="89"/>
      <c r="B155" s="89"/>
      <c r="C155" s="89"/>
      <c r="D155" s="89"/>
    </row>
    <row r="156" spans="1:4" x14ac:dyDescent="0.25">
      <c r="A156" s="89"/>
      <c r="B156" s="89"/>
      <c r="C156" s="89"/>
      <c r="D156" s="89"/>
    </row>
    <row r="157" spans="1:4" x14ac:dyDescent="0.25">
      <c r="A157" s="89"/>
      <c r="B157" s="89"/>
      <c r="C157" s="89"/>
      <c r="D157" s="89"/>
    </row>
    <row r="158" spans="1:4" x14ac:dyDescent="0.25">
      <c r="A158" s="89"/>
      <c r="B158" s="89"/>
      <c r="C158" s="89"/>
      <c r="D158" s="89"/>
    </row>
    <row r="159" spans="1:4" x14ac:dyDescent="0.25">
      <c r="A159" s="89"/>
      <c r="B159" s="89"/>
      <c r="C159" s="89"/>
      <c r="D159" s="89"/>
    </row>
    <row r="160" spans="1:4" x14ac:dyDescent="0.25">
      <c r="A160" s="89"/>
      <c r="B160" s="89"/>
      <c r="C160" s="89"/>
      <c r="D160" s="89"/>
    </row>
    <row r="161" spans="1:4" x14ac:dyDescent="0.25">
      <c r="A161" s="89"/>
      <c r="B161" s="89"/>
      <c r="C161" s="89"/>
      <c r="D161" s="89"/>
    </row>
    <row r="162" spans="1:4" x14ac:dyDescent="0.25">
      <c r="A162" s="89"/>
      <c r="B162" s="89"/>
      <c r="C162" s="89"/>
      <c r="D162" s="89"/>
    </row>
    <row r="163" spans="1:4" x14ac:dyDescent="0.25">
      <c r="A163" s="89"/>
      <c r="B163" s="89"/>
      <c r="C163" s="89"/>
      <c r="D163" s="89"/>
    </row>
    <row r="164" spans="1:4" x14ac:dyDescent="0.25">
      <c r="A164" s="89"/>
      <c r="B164" s="89"/>
      <c r="C164" s="89"/>
      <c r="D164" s="89"/>
    </row>
    <row r="165" spans="1:4" x14ac:dyDescent="0.25">
      <c r="A165" s="89"/>
      <c r="B165" s="89"/>
      <c r="C165" s="89"/>
      <c r="D165" s="89"/>
    </row>
    <row r="166" spans="1:4" x14ac:dyDescent="0.25">
      <c r="A166" s="89"/>
      <c r="B166" s="89"/>
      <c r="C166" s="89"/>
      <c r="D166" s="89"/>
    </row>
    <row r="167" spans="1:4" x14ac:dyDescent="0.25">
      <c r="A167" s="89"/>
      <c r="B167" s="89"/>
      <c r="C167" s="89"/>
      <c r="D167" s="89"/>
    </row>
    <row r="168" spans="1:4" x14ac:dyDescent="0.25">
      <c r="A168" s="89"/>
      <c r="B168" s="89"/>
      <c r="C168" s="89"/>
      <c r="D168" s="89"/>
    </row>
    <row r="169" spans="1:4" x14ac:dyDescent="0.25">
      <c r="A169" s="89"/>
      <c r="B169" s="89"/>
      <c r="C169" s="89"/>
      <c r="D169" s="89"/>
    </row>
    <row r="170" spans="1:4" x14ac:dyDescent="0.25">
      <c r="A170" s="89"/>
      <c r="B170" s="89"/>
      <c r="C170" s="89"/>
      <c r="D170" s="89"/>
    </row>
    <row r="171" spans="1:4" x14ac:dyDescent="0.25">
      <c r="A171" s="89"/>
      <c r="B171" s="89"/>
      <c r="C171" s="89"/>
      <c r="D171" s="89"/>
    </row>
    <row r="172" spans="1:4" x14ac:dyDescent="0.25">
      <c r="A172" s="89"/>
      <c r="B172" s="89"/>
      <c r="C172" s="89"/>
      <c r="D172" s="89"/>
    </row>
    <row r="173" spans="1:4" x14ac:dyDescent="0.25">
      <c r="A173" s="89"/>
      <c r="B173" s="89"/>
      <c r="C173" s="89"/>
      <c r="D173" s="89"/>
    </row>
    <row r="174" spans="1:4" x14ac:dyDescent="0.25">
      <c r="A174" s="89"/>
      <c r="B174" s="89"/>
      <c r="C174" s="89"/>
      <c r="D174" s="89"/>
    </row>
    <row r="175" spans="1:4" x14ac:dyDescent="0.25">
      <c r="A175" s="89"/>
      <c r="B175" s="89"/>
      <c r="C175" s="89"/>
      <c r="D175" s="89"/>
    </row>
    <row r="176" spans="1:4" x14ac:dyDescent="0.25">
      <c r="A176" s="89"/>
      <c r="B176" s="89"/>
      <c r="C176" s="89"/>
      <c r="D176" s="89"/>
    </row>
    <row r="177" spans="1:4" x14ac:dyDescent="0.25">
      <c r="A177" s="89"/>
      <c r="B177" s="89"/>
      <c r="C177" s="89"/>
      <c r="D177" s="89"/>
    </row>
    <row r="178" spans="1:4" x14ac:dyDescent="0.25">
      <c r="A178" s="89"/>
      <c r="B178" s="89"/>
      <c r="C178" s="89"/>
      <c r="D178" s="89"/>
    </row>
    <row r="179" spans="1:4" x14ac:dyDescent="0.25">
      <c r="A179" s="89"/>
      <c r="B179" s="89"/>
      <c r="C179" s="89"/>
      <c r="D179" s="89"/>
    </row>
    <row r="180" spans="1:4" x14ac:dyDescent="0.25">
      <c r="A180" s="89"/>
      <c r="B180" s="89"/>
      <c r="C180" s="89"/>
      <c r="D180" s="89"/>
    </row>
    <row r="181" spans="1:4" x14ac:dyDescent="0.25">
      <c r="A181" s="89"/>
      <c r="B181" s="89"/>
      <c r="C181" s="89"/>
      <c r="D181" s="89"/>
    </row>
    <row r="182" spans="1:4" x14ac:dyDescent="0.25">
      <c r="A182" s="89"/>
      <c r="B182" s="89"/>
      <c r="C182" s="89"/>
      <c r="D182" s="89"/>
    </row>
    <row r="183" spans="1:4" x14ac:dyDescent="0.25">
      <c r="A183" s="89"/>
      <c r="B183" s="89"/>
      <c r="C183" s="89"/>
      <c r="D183" s="89"/>
    </row>
    <row r="184" spans="1:4" x14ac:dyDescent="0.25">
      <c r="A184" s="89"/>
      <c r="B184" s="89"/>
      <c r="C184" s="89"/>
      <c r="D184" s="89"/>
    </row>
    <row r="185" spans="1:4" x14ac:dyDescent="0.25">
      <c r="A185" s="89"/>
      <c r="B185" s="89"/>
      <c r="C185" s="89"/>
      <c r="D185" s="89"/>
    </row>
    <row r="186" spans="1:4" x14ac:dyDescent="0.25">
      <c r="A186" s="89"/>
      <c r="B186" s="89"/>
      <c r="C186" s="89"/>
      <c r="D186" s="89"/>
    </row>
    <row r="187" spans="1:4" x14ac:dyDescent="0.25">
      <c r="A187" s="89"/>
      <c r="B187" s="89"/>
      <c r="C187" s="89"/>
      <c r="D187" s="89"/>
    </row>
    <row r="188" spans="1:4" x14ac:dyDescent="0.25">
      <c r="A188" s="89"/>
      <c r="B188" s="89"/>
      <c r="C188" s="89"/>
      <c r="D188" s="89"/>
    </row>
    <row r="189" spans="1:4" x14ac:dyDescent="0.25">
      <c r="A189" s="89"/>
      <c r="B189" s="89"/>
      <c r="C189" s="89"/>
      <c r="D189" s="89"/>
    </row>
    <row r="190" spans="1:4" x14ac:dyDescent="0.25">
      <c r="A190" s="89"/>
      <c r="B190" s="89"/>
      <c r="C190" s="89"/>
      <c r="D190" s="89"/>
    </row>
    <row r="191" spans="1:4" x14ac:dyDescent="0.25">
      <c r="A191" s="89"/>
      <c r="B191" s="89"/>
      <c r="C191" s="89"/>
      <c r="D191" s="89"/>
    </row>
    <row r="192" spans="1:4" x14ac:dyDescent="0.25">
      <c r="A192" s="89"/>
      <c r="B192" s="89"/>
      <c r="C192" s="89"/>
      <c r="D192" s="89"/>
    </row>
    <row r="193" spans="1:4" x14ac:dyDescent="0.25">
      <c r="A193" s="89"/>
      <c r="B193" s="89"/>
      <c r="C193" s="89"/>
      <c r="D193" s="89"/>
    </row>
    <row r="194" spans="1:4" x14ac:dyDescent="0.25">
      <c r="A194" s="89"/>
      <c r="B194" s="89"/>
      <c r="C194" s="89"/>
      <c r="D194" s="89"/>
    </row>
    <row r="195" spans="1:4" x14ac:dyDescent="0.25">
      <c r="A195" s="89"/>
      <c r="B195" s="89"/>
      <c r="C195" s="89"/>
      <c r="D195" s="89"/>
    </row>
    <row r="196" spans="1:4" x14ac:dyDescent="0.25">
      <c r="A196" s="89"/>
      <c r="B196" s="89"/>
      <c r="C196" s="89"/>
      <c r="D196" s="89"/>
    </row>
    <row r="197" spans="1:4" x14ac:dyDescent="0.25">
      <c r="A197" s="89"/>
      <c r="B197" s="89"/>
      <c r="C197" s="89"/>
      <c r="D197" s="89"/>
    </row>
    <row r="198" spans="1:4" x14ac:dyDescent="0.25">
      <c r="A198" s="89"/>
      <c r="B198" s="89"/>
      <c r="C198" s="89"/>
      <c r="D198" s="89"/>
    </row>
    <row r="199" spans="1:4" x14ac:dyDescent="0.25">
      <c r="A199" s="89"/>
      <c r="B199" s="89"/>
      <c r="C199" s="89"/>
      <c r="D199" s="89"/>
    </row>
    <row r="200" spans="1:4" x14ac:dyDescent="0.25">
      <c r="A200" s="89"/>
      <c r="B200" s="89"/>
      <c r="C200" s="89"/>
      <c r="D200" s="89"/>
    </row>
    <row r="201" spans="1:4" x14ac:dyDescent="0.25">
      <c r="A201" s="89"/>
      <c r="B201" s="89"/>
      <c r="C201" s="89"/>
      <c r="D201" s="89"/>
    </row>
  </sheetData>
  <mergeCells count="41">
    <mergeCell ref="B142:D142"/>
    <mergeCell ref="B143:D143"/>
    <mergeCell ref="B138:D138"/>
    <mergeCell ref="B139:D139"/>
    <mergeCell ref="B140:D140"/>
    <mergeCell ref="B141:D141"/>
    <mergeCell ref="B52:D52"/>
    <mergeCell ref="B14:D14"/>
    <mergeCell ref="B12:D12"/>
    <mergeCell ref="B13:D13"/>
    <mergeCell ref="B15:D15"/>
    <mergeCell ref="B18:D18"/>
    <mergeCell ref="B32:D32"/>
    <mergeCell ref="B45:D45"/>
    <mergeCell ref="B46:D46"/>
    <mergeCell ref="B47:D47"/>
    <mergeCell ref="B48:D48"/>
    <mergeCell ref="B29:D29"/>
    <mergeCell ref="B27:D27"/>
    <mergeCell ref="B28:D28"/>
    <mergeCell ref="B30:D30"/>
    <mergeCell ref="B31:D31"/>
    <mergeCell ref="B65:D65"/>
    <mergeCell ref="B66:D66"/>
    <mergeCell ref="B102:D102"/>
    <mergeCell ref="B103:D103"/>
    <mergeCell ref="B87:D87"/>
    <mergeCell ref="B83:D83"/>
    <mergeCell ref="B84:D84"/>
    <mergeCell ref="B85:D85"/>
    <mergeCell ref="B86:D86"/>
    <mergeCell ref="B67:D67"/>
    <mergeCell ref="B68:D68"/>
    <mergeCell ref="B70:D70"/>
    <mergeCell ref="B100:D100"/>
    <mergeCell ref="B101:D101"/>
    <mergeCell ref="B69:D69"/>
    <mergeCell ref="B116:D116"/>
    <mergeCell ref="B117:D117"/>
    <mergeCell ref="B118:D118"/>
    <mergeCell ref="B119:D119"/>
  </mergeCells>
  <pageMargins left="0.7" right="0.7" top="0.75" bottom="0.75" header="0.3" footer="0.3"/>
  <pageSetup paperSize="9" scale="83" fitToHeight="0" orientation="landscape" r:id="rId1"/>
  <rowBreaks count="2" manualBreakCount="2">
    <brk id="97" min="1" max="3" man="1"/>
    <brk id="113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H13" sqref="H13"/>
    </sheetView>
  </sheetViews>
  <sheetFormatPr defaultColWidth="9.140625" defaultRowHeight="15" x14ac:dyDescent="0.25"/>
  <cols>
    <col min="1" max="1" width="9.140625" style="75"/>
    <col min="2" max="2" width="53.7109375" style="75" customWidth="1"/>
    <col min="3" max="3" width="42.85546875" style="75" customWidth="1"/>
    <col min="4" max="4" width="58.7109375" style="75" customWidth="1"/>
    <col min="5" max="16384" width="9.140625" style="75"/>
  </cols>
  <sheetData>
    <row r="2" spans="2:4" ht="18.75" x14ac:dyDescent="0.25">
      <c r="B2" s="76" t="s">
        <v>96</v>
      </c>
      <c r="C2" s="79"/>
      <c r="D2" s="76" t="s">
        <v>97</v>
      </c>
    </row>
    <row r="3" spans="2:4" ht="18.75" x14ac:dyDescent="0.25">
      <c r="B3" s="77"/>
      <c r="C3" s="79"/>
      <c r="D3" s="76"/>
    </row>
    <row r="4" spans="2:4" ht="37.5" x14ac:dyDescent="0.25">
      <c r="B4" s="80" t="s">
        <v>206</v>
      </c>
      <c r="C4" s="83"/>
      <c r="D4" s="84" t="s">
        <v>128</v>
      </c>
    </row>
    <row r="5" spans="2:4" ht="18.75" x14ac:dyDescent="0.25">
      <c r="B5" s="80" t="s">
        <v>207</v>
      </c>
      <c r="C5" s="83"/>
      <c r="D5" s="84" t="s">
        <v>99</v>
      </c>
    </row>
    <row r="6" spans="2:4" ht="18.75" x14ac:dyDescent="0.25">
      <c r="B6" s="85" t="s">
        <v>175</v>
      </c>
      <c r="C6" s="81"/>
      <c r="D6" s="82"/>
    </row>
    <row r="7" spans="2:4" ht="18.75" x14ac:dyDescent="0.25">
      <c r="C7" s="79"/>
      <c r="D7" s="78"/>
    </row>
    <row r="8" spans="2:4" ht="18.75" x14ac:dyDescent="0.25">
      <c r="C8" s="79"/>
      <c r="D8" s="78"/>
    </row>
    <row r="9" spans="2:4" ht="18.75" x14ac:dyDescent="0.25">
      <c r="C9" s="79"/>
      <c r="D9" s="78"/>
    </row>
    <row r="10" spans="2:4" ht="25.5" x14ac:dyDescent="0.25">
      <c r="B10" s="130" t="s">
        <v>98</v>
      </c>
      <c r="C10" s="130"/>
      <c r="D10" s="130"/>
    </row>
    <row r="11" spans="2:4" ht="25.5" x14ac:dyDescent="0.25">
      <c r="B11" s="130" t="s">
        <v>176</v>
      </c>
      <c r="C11" s="130"/>
      <c r="D11" s="130"/>
    </row>
    <row r="12" spans="2:4" ht="25.5" x14ac:dyDescent="0.25">
      <c r="B12" s="130" t="s">
        <v>177</v>
      </c>
      <c r="C12" s="130"/>
      <c r="D12" s="130"/>
    </row>
    <row r="13" spans="2:4" ht="25.5" x14ac:dyDescent="0.25">
      <c r="B13" s="131" t="s">
        <v>178</v>
      </c>
      <c r="C13" s="131"/>
      <c r="D13" s="131"/>
    </row>
    <row r="14" spans="2:4" ht="18.75" x14ac:dyDescent="0.25">
      <c r="B14" s="76"/>
      <c r="C14" s="79"/>
      <c r="D14" s="76"/>
    </row>
    <row r="15" spans="2:4" ht="25.5" x14ac:dyDescent="0.25">
      <c r="B15" s="130"/>
      <c r="C15" s="130"/>
      <c r="D15" s="130"/>
    </row>
    <row r="16" spans="2:4" ht="25.5" x14ac:dyDescent="0.25">
      <c r="B16" s="131"/>
      <c r="C16" s="131"/>
      <c r="D16" s="131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opLeftCell="B200" zoomScale="90" zoomScaleNormal="90" workbookViewId="0">
      <selection activeCell="H208" sqref="H208"/>
    </sheetView>
  </sheetViews>
  <sheetFormatPr defaultColWidth="9.140625" defaultRowHeight="18.75" x14ac:dyDescent="0.25"/>
  <cols>
    <col min="1" max="1" width="0" style="27" hidden="1" customWidth="1"/>
    <col min="2" max="2" width="19.85546875" style="27" customWidth="1"/>
    <col min="3" max="3" width="47.85546875" style="27" customWidth="1"/>
    <col min="4" max="4" width="12.42578125" style="48" customWidth="1"/>
    <col min="5" max="5" width="11.28515625" style="27" customWidth="1"/>
    <col min="6" max="6" width="8.85546875" style="27" customWidth="1"/>
    <col min="7" max="7" width="13" style="27" customWidth="1"/>
    <col min="8" max="8" width="14.28515625" style="27" customWidth="1"/>
    <col min="9" max="9" width="10.5703125" style="27" customWidth="1"/>
    <col min="10" max="10" width="8.85546875" style="27" customWidth="1"/>
    <col min="11" max="11" width="9.85546875" style="27" customWidth="1"/>
    <col min="12" max="12" width="9.42578125" style="27" customWidth="1"/>
    <col min="13" max="13" width="10.28515625" style="27" customWidth="1"/>
    <col min="14" max="14" width="11.28515625" style="27" customWidth="1"/>
    <col min="15" max="15" width="10.7109375" style="27" customWidth="1"/>
    <col min="16" max="16" width="9.7109375" style="27" customWidth="1"/>
    <col min="17" max="17" width="9" style="27" customWidth="1"/>
    <col min="18" max="16384" width="9.140625" style="27"/>
  </cols>
  <sheetData>
    <row r="1" spans="1:16" s="36" customFormat="1" x14ac:dyDescent="0.3">
      <c r="B1" s="38"/>
      <c r="C1" s="38"/>
      <c r="D1" s="44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6" customFormat="1" x14ac:dyDescent="0.3">
      <c r="B2" s="39" t="s">
        <v>112</v>
      </c>
      <c r="C2" s="38"/>
      <c r="D2" s="4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s="36" customFormat="1" x14ac:dyDescent="0.3">
      <c r="B3" s="39" t="s">
        <v>113</v>
      </c>
      <c r="C3" s="38"/>
      <c r="D3" s="4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36" customFormat="1" x14ac:dyDescent="0.3">
      <c r="B4" s="39" t="s">
        <v>306</v>
      </c>
      <c r="C4" s="38"/>
      <c r="D4" s="4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B5" s="28"/>
      <c r="C5" s="28"/>
      <c r="D5" s="4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46.5" customHeight="1" x14ac:dyDescent="0.25">
      <c r="B6" s="132" t="s">
        <v>0</v>
      </c>
      <c r="C6" s="132" t="s">
        <v>1</v>
      </c>
      <c r="D6" s="137" t="s">
        <v>2</v>
      </c>
      <c r="E6" s="132" t="s">
        <v>3</v>
      </c>
      <c r="F6" s="132"/>
      <c r="G6" s="132"/>
      <c r="H6" s="132" t="s">
        <v>4</v>
      </c>
      <c r="I6" s="132" t="s">
        <v>5</v>
      </c>
      <c r="J6" s="132"/>
      <c r="K6" s="132"/>
      <c r="L6" s="132"/>
      <c r="M6" s="132" t="s">
        <v>6</v>
      </c>
      <c r="N6" s="132"/>
      <c r="O6" s="132"/>
      <c r="P6" s="132"/>
    </row>
    <row r="7" spans="1:16" ht="27.75" customHeight="1" x14ac:dyDescent="0.25">
      <c r="B7" s="132"/>
      <c r="C7" s="132"/>
      <c r="D7" s="137"/>
      <c r="E7" s="66" t="s">
        <v>7</v>
      </c>
      <c r="F7" s="66" t="s">
        <v>8</v>
      </c>
      <c r="G7" s="66" t="s">
        <v>9</v>
      </c>
      <c r="H7" s="132"/>
      <c r="I7" s="66" t="s">
        <v>114</v>
      </c>
      <c r="J7" s="66" t="s">
        <v>10</v>
      </c>
      <c r="K7" s="66" t="s">
        <v>11</v>
      </c>
      <c r="L7" s="66" t="s">
        <v>12</v>
      </c>
      <c r="M7" s="66" t="s">
        <v>13</v>
      </c>
      <c r="N7" s="66" t="s">
        <v>14</v>
      </c>
      <c r="O7" s="66" t="s">
        <v>15</v>
      </c>
      <c r="P7" s="66" t="s">
        <v>16</v>
      </c>
    </row>
    <row r="8" spans="1:16" x14ac:dyDescent="0.25">
      <c r="B8" s="132" t="s">
        <v>17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6" ht="36.75" customHeight="1" x14ac:dyDescent="0.25">
      <c r="A9" s="27">
        <v>1</v>
      </c>
      <c r="B9" s="61" t="s">
        <v>212</v>
      </c>
      <c r="C9" s="71" t="s">
        <v>231</v>
      </c>
      <c r="D9" s="123" t="s">
        <v>307</v>
      </c>
      <c r="E9" s="69">
        <v>6</v>
      </c>
      <c r="F9" s="69">
        <v>6.3</v>
      </c>
      <c r="G9" s="69">
        <v>21.45</v>
      </c>
      <c r="H9" s="69">
        <v>157.94999999999999</v>
      </c>
      <c r="I9" s="69">
        <v>0.13500000000000001</v>
      </c>
      <c r="J9" s="69">
        <v>0.69</v>
      </c>
      <c r="K9" s="69">
        <v>0.03</v>
      </c>
      <c r="L9" s="69">
        <v>0.45</v>
      </c>
      <c r="M9" s="69">
        <v>106.8</v>
      </c>
      <c r="N9" s="69">
        <v>167.85</v>
      </c>
      <c r="O9" s="69">
        <v>50.55</v>
      </c>
      <c r="P9" s="69">
        <v>1.2</v>
      </c>
    </row>
    <row r="10" spans="1:16" ht="20.100000000000001" customHeight="1" x14ac:dyDescent="0.25">
      <c r="A10" s="27">
        <v>1</v>
      </c>
      <c r="B10" s="61" t="s">
        <v>196</v>
      </c>
      <c r="C10" s="71" t="s">
        <v>214</v>
      </c>
      <c r="D10" s="123">
        <v>200</v>
      </c>
      <c r="E10" s="69">
        <v>7</v>
      </c>
      <c r="F10" s="69">
        <v>16.600000000000001</v>
      </c>
      <c r="G10" s="69">
        <v>98</v>
      </c>
      <c r="H10" s="69">
        <v>460</v>
      </c>
      <c r="I10" s="69">
        <v>0.26</v>
      </c>
      <c r="J10" s="69">
        <v>0</v>
      </c>
      <c r="K10" s="69">
        <v>0</v>
      </c>
      <c r="L10" s="69">
        <v>3.4</v>
      </c>
      <c r="M10" s="69">
        <v>14</v>
      </c>
      <c r="N10" s="69">
        <v>126</v>
      </c>
      <c r="O10" s="69">
        <v>50</v>
      </c>
      <c r="P10" s="69">
        <v>2.8</v>
      </c>
    </row>
    <row r="11" spans="1:16" ht="20.100000000000001" customHeight="1" x14ac:dyDescent="0.25">
      <c r="A11" s="27">
        <v>1</v>
      </c>
      <c r="B11" s="72"/>
      <c r="C11" s="71" t="s">
        <v>156</v>
      </c>
      <c r="D11" s="111">
        <v>100</v>
      </c>
      <c r="E11" s="69">
        <v>5.8</v>
      </c>
      <c r="F11" s="69">
        <v>5</v>
      </c>
      <c r="G11" s="69">
        <v>8</v>
      </c>
      <c r="H11" s="69">
        <v>100.2</v>
      </c>
      <c r="I11" s="69">
        <v>0.1</v>
      </c>
      <c r="J11" s="69">
        <v>1.4</v>
      </c>
      <c r="K11" s="69">
        <v>0.4</v>
      </c>
      <c r="L11" s="69">
        <v>0.1</v>
      </c>
      <c r="M11" s="69">
        <v>240</v>
      </c>
      <c r="N11" s="69">
        <v>165</v>
      </c>
      <c r="O11" s="69">
        <v>28</v>
      </c>
      <c r="P11" s="69">
        <v>0.2</v>
      </c>
    </row>
    <row r="12" spans="1:16" ht="19.5" customHeight="1" x14ac:dyDescent="0.25">
      <c r="A12" s="27">
        <v>1</v>
      </c>
      <c r="B12" s="72"/>
      <c r="C12" s="71" t="s">
        <v>26</v>
      </c>
      <c r="D12" s="111" t="s">
        <v>127</v>
      </c>
      <c r="E12" s="69">
        <v>0.08</v>
      </c>
      <c r="F12" s="69">
        <v>0.02</v>
      </c>
      <c r="G12" s="69">
        <v>15</v>
      </c>
      <c r="H12" s="69">
        <v>60.5</v>
      </c>
      <c r="I12" s="69">
        <v>0</v>
      </c>
      <c r="J12" s="69">
        <v>0</v>
      </c>
      <c r="K12" s="69">
        <v>0.04</v>
      </c>
      <c r="L12" s="69">
        <v>0</v>
      </c>
      <c r="M12" s="69">
        <v>11.1</v>
      </c>
      <c r="N12" s="69">
        <v>1.4</v>
      </c>
      <c r="O12" s="69">
        <v>2.8</v>
      </c>
      <c r="P12" s="69">
        <v>0.28000000000000003</v>
      </c>
    </row>
    <row r="13" spans="1:16" ht="20.100000000000001" customHeight="1" x14ac:dyDescent="0.25">
      <c r="A13" s="27">
        <v>1</v>
      </c>
      <c r="B13" s="114"/>
      <c r="C13" s="114" t="s">
        <v>18</v>
      </c>
      <c r="D13" s="115"/>
      <c r="E13" s="114">
        <f>SUM(E9:E12)</f>
        <v>18.88</v>
      </c>
      <c r="F13" s="114">
        <f t="shared" ref="F13:P13" si="0">SUM(F9:F12)</f>
        <v>27.92</v>
      </c>
      <c r="G13" s="114">
        <f t="shared" si="0"/>
        <v>142.44999999999999</v>
      </c>
      <c r="H13" s="114">
        <f t="shared" si="0"/>
        <v>778.65000000000009</v>
      </c>
      <c r="I13" s="114">
        <f t="shared" si="0"/>
        <v>0.495</v>
      </c>
      <c r="J13" s="114">
        <f t="shared" si="0"/>
        <v>2.09</v>
      </c>
      <c r="K13" s="114">
        <f t="shared" si="0"/>
        <v>0.47000000000000003</v>
      </c>
      <c r="L13" s="114">
        <f t="shared" si="0"/>
        <v>3.95</v>
      </c>
      <c r="M13" s="114">
        <f t="shared" si="0"/>
        <v>371.90000000000003</v>
      </c>
      <c r="N13" s="114">
        <f t="shared" si="0"/>
        <v>460.25</v>
      </c>
      <c r="O13" s="114">
        <f t="shared" si="0"/>
        <v>131.35000000000002</v>
      </c>
      <c r="P13" s="114">
        <f t="shared" si="0"/>
        <v>4.4800000000000004</v>
      </c>
    </row>
    <row r="14" spans="1:16" ht="15.95" customHeight="1" x14ac:dyDescent="0.25">
      <c r="A14" s="27">
        <v>1</v>
      </c>
      <c r="B14" s="132" t="s">
        <v>19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</row>
    <row r="15" spans="1:16" s="68" customFormat="1" ht="20.25" customHeight="1" x14ac:dyDescent="0.25">
      <c r="B15" s="122" t="s">
        <v>189</v>
      </c>
      <c r="C15" s="71" t="s">
        <v>130</v>
      </c>
      <c r="D15" s="123">
        <v>100</v>
      </c>
      <c r="E15" s="30">
        <v>0.8</v>
      </c>
      <c r="F15" s="30">
        <v>0.1</v>
      </c>
      <c r="G15" s="30">
        <v>1.7</v>
      </c>
      <c r="H15" s="30">
        <v>10.9</v>
      </c>
      <c r="I15" s="30">
        <v>0.02</v>
      </c>
      <c r="J15" s="30">
        <v>5</v>
      </c>
      <c r="K15" s="30">
        <v>0</v>
      </c>
      <c r="L15" s="30">
        <v>0.1</v>
      </c>
      <c r="M15" s="30">
        <v>23</v>
      </c>
      <c r="N15" s="30">
        <v>24</v>
      </c>
      <c r="O15" s="30">
        <v>14</v>
      </c>
      <c r="P15" s="30">
        <v>0.6</v>
      </c>
    </row>
    <row r="16" spans="1:16" ht="20.100000000000001" customHeight="1" x14ac:dyDescent="0.25">
      <c r="B16" s="63" t="s">
        <v>199</v>
      </c>
      <c r="C16" s="50" t="s">
        <v>129</v>
      </c>
      <c r="D16" s="49">
        <v>100</v>
      </c>
      <c r="E16" s="30">
        <v>0.8</v>
      </c>
      <c r="F16" s="30">
        <v>0.1</v>
      </c>
      <c r="G16" s="30">
        <v>2.5</v>
      </c>
      <c r="H16" s="30">
        <v>14.1</v>
      </c>
      <c r="I16" s="30">
        <v>0</v>
      </c>
      <c r="J16" s="30">
        <v>10</v>
      </c>
      <c r="K16" s="30">
        <v>0</v>
      </c>
      <c r="L16" s="30">
        <v>0</v>
      </c>
      <c r="M16" s="30">
        <v>23.3</v>
      </c>
      <c r="N16" s="30">
        <v>41.6</v>
      </c>
      <c r="O16" s="30">
        <v>14</v>
      </c>
      <c r="P16" s="30">
        <v>0.6</v>
      </c>
    </row>
    <row r="17" spans="1:16" s="68" customFormat="1" ht="20.100000000000001" customHeight="1" x14ac:dyDescent="0.25">
      <c r="B17" s="110"/>
      <c r="C17" s="71" t="s">
        <v>172</v>
      </c>
      <c r="D17" s="72"/>
      <c r="E17" s="32">
        <f>SUM(E15:E16)/2</f>
        <v>0.8</v>
      </c>
      <c r="F17" s="32">
        <f t="shared" ref="F17:P17" si="1">SUM(F15:F16)/2</f>
        <v>0.1</v>
      </c>
      <c r="G17" s="32">
        <f t="shared" si="1"/>
        <v>2.1</v>
      </c>
      <c r="H17" s="32">
        <f t="shared" si="1"/>
        <v>12.5</v>
      </c>
      <c r="I17" s="32">
        <f t="shared" si="1"/>
        <v>0.01</v>
      </c>
      <c r="J17" s="32">
        <f t="shared" si="1"/>
        <v>7.5</v>
      </c>
      <c r="K17" s="32">
        <f t="shared" si="1"/>
        <v>0</v>
      </c>
      <c r="L17" s="32">
        <f t="shared" si="1"/>
        <v>0.05</v>
      </c>
      <c r="M17" s="32">
        <f t="shared" si="1"/>
        <v>23.15</v>
      </c>
      <c r="N17" s="32">
        <f t="shared" si="1"/>
        <v>32.799999999999997</v>
      </c>
      <c r="O17" s="32">
        <f t="shared" si="1"/>
        <v>14</v>
      </c>
      <c r="P17" s="32">
        <f t="shared" si="1"/>
        <v>0.6</v>
      </c>
    </row>
    <row r="18" spans="1:16" ht="43.5" customHeight="1" x14ac:dyDescent="0.25">
      <c r="A18" s="27">
        <v>1</v>
      </c>
      <c r="B18" s="61" t="s">
        <v>288</v>
      </c>
      <c r="C18" s="71" t="s">
        <v>287</v>
      </c>
      <c r="D18" s="67">
        <v>250</v>
      </c>
      <c r="E18" s="30">
        <v>2.25</v>
      </c>
      <c r="F18" s="30">
        <v>3.5</v>
      </c>
      <c r="G18" s="30">
        <v>13</v>
      </c>
      <c r="H18" s="30">
        <v>92.75</v>
      </c>
      <c r="I18" s="30">
        <v>0</v>
      </c>
      <c r="J18" s="30">
        <v>0</v>
      </c>
      <c r="K18" s="30">
        <v>8.25</v>
      </c>
      <c r="L18" s="30">
        <v>1.25</v>
      </c>
      <c r="M18" s="30">
        <v>26.75</v>
      </c>
      <c r="N18" s="30">
        <v>22.75</v>
      </c>
      <c r="O18" s="30">
        <v>56</v>
      </c>
      <c r="P18" s="30">
        <v>1</v>
      </c>
    </row>
    <row r="19" spans="1:16" ht="20.100000000000001" customHeight="1" x14ac:dyDescent="0.25">
      <c r="A19" s="27">
        <v>1</v>
      </c>
      <c r="B19" s="122" t="s">
        <v>165</v>
      </c>
      <c r="C19" s="71" t="s">
        <v>133</v>
      </c>
      <c r="D19" s="123" t="s">
        <v>309</v>
      </c>
      <c r="E19" s="30">
        <v>17.25</v>
      </c>
      <c r="F19" s="30">
        <v>17.594999999999999</v>
      </c>
      <c r="G19" s="30">
        <v>4.7149999999999999</v>
      </c>
      <c r="H19" s="30">
        <v>448.5</v>
      </c>
      <c r="I19" s="30">
        <v>0</v>
      </c>
      <c r="J19" s="30">
        <v>0.46</v>
      </c>
      <c r="K19" s="30">
        <v>2.415</v>
      </c>
      <c r="L19" s="30">
        <v>6.21</v>
      </c>
      <c r="M19" s="30">
        <v>40.019999999999996</v>
      </c>
      <c r="N19" s="30">
        <v>290.95</v>
      </c>
      <c r="O19" s="30">
        <v>224.25</v>
      </c>
      <c r="P19" s="30">
        <v>5.1749999999999998</v>
      </c>
    </row>
    <row r="20" spans="1:16" ht="20.100000000000001" customHeight="1" x14ac:dyDescent="0.25">
      <c r="B20" s="122" t="s">
        <v>166</v>
      </c>
      <c r="C20" s="71" t="s">
        <v>160</v>
      </c>
      <c r="D20" s="123">
        <v>180</v>
      </c>
      <c r="E20" s="30">
        <v>4.32</v>
      </c>
      <c r="F20" s="30">
        <v>4.8240000000000007</v>
      </c>
      <c r="G20" s="30">
        <v>37.764000000000003</v>
      </c>
      <c r="H20" s="30">
        <v>211.75200000000001</v>
      </c>
      <c r="I20" s="30">
        <v>3.6000000000000004E-2</v>
      </c>
      <c r="J20" s="30">
        <v>0</v>
      </c>
      <c r="K20" s="30">
        <v>23.22</v>
      </c>
      <c r="L20" s="30">
        <v>0.30599999999999999</v>
      </c>
      <c r="M20" s="30">
        <v>7.0920000000000005</v>
      </c>
      <c r="N20" s="30">
        <v>93.366</v>
      </c>
      <c r="O20" s="30">
        <v>30.545999999999999</v>
      </c>
      <c r="P20" s="30">
        <v>0.62999999999999989</v>
      </c>
    </row>
    <row r="21" spans="1:16" ht="20.100000000000001" customHeight="1" x14ac:dyDescent="0.25">
      <c r="A21" s="27">
        <v>1</v>
      </c>
      <c r="B21" s="61" t="s">
        <v>181</v>
      </c>
      <c r="C21" s="37" t="s">
        <v>57</v>
      </c>
      <c r="D21" s="67">
        <v>200</v>
      </c>
      <c r="E21" s="30">
        <v>0.28000000000000003</v>
      </c>
      <c r="F21" s="30">
        <v>0.1</v>
      </c>
      <c r="G21" s="30">
        <v>28.88</v>
      </c>
      <c r="H21" s="30">
        <v>117.54</v>
      </c>
      <c r="I21" s="30">
        <v>0</v>
      </c>
      <c r="J21" s="30">
        <v>19.3</v>
      </c>
      <c r="K21" s="30">
        <v>0</v>
      </c>
      <c r="L21" s="30">
        <v>0.16</v>
      </c>
      <c r="M21" s="30">
        <v>13.66</v>
      </c>
      <c r="N21" s="30">
        <v>7.38</v>
      </c>
      <c r="O21" s="30">
        <v>5.78</v>
      </c>
      <c r="P21" s="30">
        <v>0.46800000000000003</v>
      </c>
    </row>
    <row r="22" spans="1:16" ht="20.100000000000001" customHeight="1" x14ac:dyDescent="0.25">
      <c r="A22" s="27">
        <v>1</v>
      </c>
      <c r="B22" s="122" t="s">
        <v>182</v>
      </c>
      <c r="C22" s="71" t="s">
        <v>20</v>
      </c>
      <c r="D22" s="123">
        <v>40</v>
      </c>
      <c r="E22" s="30">
        <v>3.0666666666666664</v>
      </c>
      <c r="F22" s="30">
        <v>0.26666666666666672</v>
      </c>
      <c r="G22" s="30">
        <v>19.733333333333334</v>
      </c>
      <c r="H22" s="30">
        <v>94</v>
      </c>
      <c r="I22" s="30">
        <v>0</v>
      </c>
      <c r="J22" s="30">
        <v>0</v>
      </c>
      <c r="K22" s="30">
        <v>0</v>
      </c>
      <c r="L22" s="30">
        <v>0.4</v>
      </c>
      <c r="M22" s="30">
        <v>8</v>
      </c>
      <c r="N22" s="30">
        <v>26</v>
      </c>
      <c r="O22" s="30">
        <v>5.6000000000000014</v>
      </c>
      <c r="P22" s="30">
        <v>0.4</v>
      </c>
    </row>
    <row r="23" spans="1:16" ht="20.100000000000001" customHeight="1" x14ac:dyDescent="0.25">
      <c r="A23" s="27">
        <v>1</v>
      </c>
      <c r="B23" s="122" t="s">
        <v>191</v>
      </c>
      <c r="C23" s="71" t="s">
        <v>21</v>
      </c>
      <c r="D23" s="123">
        <v>50</v>
      </c>
      <c r="E23" s="30">
        <v>3.25</v>
      </c>
      <c r="F23" s="30">
        <v>0.625</v>
      </c>
      <c r="G23" s="30">
        <v>19.75</v>
      </c>
      <c r="H23" s="30">
        <v>99</v>
      </c>
      <c r="I23" s="30">
        <v>0.125</v>
      </c>
      <c r="J23" s="30">
        <v>0</v>
      </c>
      <c r="K23" s="30">
        <v>0</v>
      </c>
      <c r="L23" s="30">
        <v>0.75</v>
      </c>
      <c r="M23" s="30">
        <v>14.499999999999998</v>
      </c>
      <c r="N23" s="30">
        <v>75</v>
      </c>
      <c r="O23" s="30">
        <v>23.5</v>
      </c>
      <c r="P23" s="30">
        <v>2</v>
      </c>
    </row>
    <row r="24" spans="1:16" ht="20.100000000000001" customHeight="1" x14ac:dyDescent="0.25">
      <c r="A24" s="27">
        <v>1</v>
      </c>
      <c r="B24" s="114"/>
      <c r="C24" s="114" t="s">
        <v>18</v>
      </c>
      <c r="D24" s="115"/>
      <c r="E24" s="114">
        <f>SUM(E17+E18+E19+E20+E21+E22+E23)</f>
        <v>31.216666666666669</v>
      </c>
      <c r="F24" s="114">
        <f t="shared" ref="F24:P24" si="2">SUM(F17+F18+F19+F20+F21+F22+F23)</f>
        <v>27.010666666666669</v>
      </c>
      <c r="G24" s="114">
        <f t="shared" si="2"/>
        <v>125.94233333333334</v>
      </c>
      <c r="H24" s="114">
        <f t="shared" si="2"/>
        <v>1076.0419999999999</v>
      </c>
      <c r="I24" s="114">
        <f t="shared" si="2"/>
        <v>0.17100000000000001</v>
      </c>
      <c r="J24" s="114">
        <f t="shared" si="2"/>
        <v>27.26</v>
      </c>
      <c r="K24" s="114">
        <f t="shared" si="2"/>
        <v>33.884999999999998</v>
      </c>
      <c r="L24" s="114">
        <f t="shared" si="2"/>
        <v>9.1259999999999994</v>
      </c>
      <c r="M24" s="114">
        <f t="shared" si="2"/>
        <v>133.17199999999997</v>
      </c>
      <c r="N24" s="114">
        <f t="shared" si="2"/>
        <v>548.24599999999998</v>
      </c>
      <c r="O24" s="114">
        <f t="shared" si="2"/>
        <v>359.67599999999999</v>
      </c>
      <c r="P24" s="114">
        <f t="shared" si="2"/>
        <v>10.273</v>
      </c>
    </row>
    <row r="25" spans="1:16" ht="20.100000000000001" customHeight="1" x14ac:dyDescent="0.25">
      <c r="A25" s="27">
        <v>1</v>
      </c>
      <c r="B25" s="132" t="s">
        <v>22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ht="24" customHeight="1" x14ac:dyDescent="0.25">
      <c r="A26" s="27">
        <v>1</v>
      </c>
      <c r="B26" s="122" t="s">
        <v>167</v>
      </c>
      <c r="C26" s="71" t="s">
        <v>52</v>
      </c>
      <c r="D26" s="123">
        <v>200</v>
      </c>
      <c r="E26" s="30">
        <v>12.45</v>
      </c>
      <c r="F26" s="30">
        <v>15.45</v>
      </c>
      <c r="G26" s="30">
        <v>4.8</v>
      </c>
      <c r="H26" s="30">
        <v>163.95</v>
      </c>
      <c r="I26" s="30">
        <v>0.12</v>
      </c>
      <c r="J26" s="30">
        <v>0.6</v>
      </c>
      <c r="K26" s="30">
        <v>0.39</v>
      </c>
      <c r="L26" s="30">
        <v>0.75</v>
      </c>
      <c r="M26" s="30">
        <v>216</v>
      </c>
      <c r="N26" s="30">
        <v>403.5</v>
      </c>
      <c r="O26" s="30">
        <v>33</v>
      </c>
      <c r="P26" s="30">
        <v>4.2</v>
      </c>
    </row>
    <row r="27" spans="1:16" ht="18" customHeight="1" x14ac:dyDescent="0.25">
      <c r="B27" s="66" t="s">
        <v>180</v>
      </c>
      <c r="C27" s="37" t="s">
        <v>20</v>
      </c>
      <c r="D27" s="62">
        <v>30</v>
      </c>
      <c r="E27" s="30">
        <v>2.3010000000000002</v>
      </c>
      <c r="F27" s="30">
        <v>0.20100000000000001</v>
      </c>
      <c r="G27" s="30">
        <v>14.798999999999999</v>
      </c>
      <c r="H27" s="30">
        <v>70.5</v>
      </c>
      <c r="I27" s="30">
        <v>0</v>
      </c>
      <c r="J27" s="30">
        <v>0</v>
      </c>
      <c r="K27" s="30">
        <v>0</v>
      </c>
      <c r="L27" s="30">
        <v>0.3</v>
      </c>
      <c r="M27" s="30">
        <v>6</v>
      </c>
      <c r="N27" s="30">
        <v>19.5</v>
      </c>
      <c r="O27" s="30">
        <v>4.2</v>
      </c>
      <c r="P27" s="30">
        <v>0.3</v>
      </c>
    </row>
    <row r="28" spans="1:16" ht="22.5" customHeight="1" x14ac:dyDescent="0.25">
      <c r="A28" s="27">
        <v>1</v>
      </c>
      <c r="B28" s="66" t="s">
        <v>183</v>
      </c>
      <c r="C28" s="37" t="s">
        <v>58</v>
      </c>
      <c r="D28" s="67">
        <v>200</v>
      </c>
      <c r="E28" s="30">
        <v>0.66</v>
      </c>
      <c r="F28" s="30">
        <v>0.1</v>
      </c>
      <c r="G28" s="30">
        <v>28.02</v>
      </c>
      <c r="H28" s="30">
        <v>109.48</v>
      </c>
      <c r="I28" s="30">
        <v>0.02</v>
      </c>
      <c r="J28" s="30">
        <v>0.9</v>
      </c>
      <c r="K28" s="30">
        <v>0</v>
      </c>
      <c r="L28" s="30">
        <v>0.08</v>
      </c>
      <c r="M28" s="30">
        <v>14.18</v>
      </c>
      <c r="N28" s="30">
        <v>4.4000000000000004</v>
      </c>
      <c r="O28" s="30">
        <v>5.14</v>
      </c>
      <c r="P28" s="30">
        <v>0.96</v>
      </c>
    </row>
    <row r="29" spans="1:16" ht="20.100000000000001" customHeight="1" x14ac:dyDescent="0.25">
      <c r="A29" s="27">
        <v>1</v>
      </c>
      <c r="B29" s="114"/>
      <c r="C29" s="114" t="s">
        <v>18</v>
      </c>
      <c r="D29" s="115"/>
      <c r="E29" s="114">
        <f>SUM(E26:E28)</f>
        <v>15.411</v>
      </c>
      <c r="F29" s="114">
        <f t="shared" ref="F29:P29" si="3">SUM(F26:F28)</f>
        <v>15.750999999999999</v>
      </c>
      <c r="G29" s="114">
        <f t="shared" si="3"/>
        <v>47.619</v>
      </c>
      <c r="H29" s="114">
        <f t="shared" si="3"/>
        <v>343.93</v>
      </c>
      <c r="I29" s="114">
        <f t="shared" si="3"/>
        <v>0.13999999999999999</v>
      </c>
      <c r="J29" s="114">
        <f t="shared" si="3"/>
        <v>1.5</v>
      </c>
      <c r="K29" s="114">
        <f t="shared" si="3"/>
        <v>0.39</v>
      </c>
      <c r="L29" s="114">
        <f t="shared" si="3"/>
        <v>1.1300000000000001</v>
      </c>
      <c r="M29" s="114">
        <f t="shared" si="3"/>
        <v>236.18</v>
      </c>
      <c r="N29" s="114">
        <f t="shared" si="3"/>
        <v>427.4</v>
      </c>
      <c r="O29" s="114">
        <f t="shared" si="3"/>
        <v>42.34</v>
      </c>
      <c r="P29" s="114">
        <f t="shared" si="3"/>
        <v>5.46</v>
      </c>
    </row>
    <row r="30" spans="1:16" ht="20.100000000000001" customHeight="1" x14ac:dyDescent="0.25">
      <c r="A30" s="27">
        <v>1</v>
      </c>
      <c r="B30" s="66"/>
      <c r="C30" s="66" t="s">
        <v>23</v>
      </c>
      <c r="D30" s="67"/>
      <c r="E30" s="66">
        <f>SUM(E13+E24+E29)</f>
        <v>65.507666666666665</v>
      </c>
      <c r="F30" s="118">
        <f t="shared" ref="F30:P30" si="4">SUM(F13+F24+F29)</f>
        <v>70.681666666666672</v>
      </c>
      <c r="G30" s="118">
        <f t="shared" si="4"/>
        <v>316.01133333333337</v>
      </c>
      <c r="H30" s="118">
        <f t="shared" si="4"/>
        <v>2198.6219999999998</v>
      </c>
      <c r="I30" s="118">
        <f t="shared" si="4"/>
        <v>0.80600000000000005</v>
      </c>
      <c r="J30" s="118">
        <f t="shared" si="4"/>
        <v>30.85</v>
      </c>
      <c r="K30" s="118">
        <f t="shared" si="4"/>
        <v>34.744999999999997</v>
      </c>
      <c r="L30" s="118">
        <f t="shared" si="4"/>
        <v>14.206000000000001</v>
      </c>
      <c r="M30" s="118">
        <f t="shared" si="4"/>
        <v>741.25199999999995</v>
      </c>
      <c r="N30" s="118">
        <f t="shared" si="4"/>
        <v>1435.896</v>
      </c>
      <c r="O30" s="118">
        <f t="shared" si="4"/>
        <v>533.36599999999999</v>
      </c>
      <c r="P30" s="118">
        <f t="shared" si="4"/>
        <v>20.213000000000001</v>
      </c>
    </row>
    <row r="31" spans="1:16" s="36" customFormat="1" ht="15" customHeight="1" x14ac:dyDescent="0.3">
      <c r="B31" s="41"/>
      <c r="C31" s="41"/>
      <c r="D31" s="46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s="36" customFormat="1" ht="20.100000000000001" customHeight="1" x14ac:dyDescent="0.3">
      <c r="B32" s="39" t="s">
        <v>115</v>
      </c>
      <c r="C32" s="38"/>
      <c r="D32" s="46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s="36" customFormat="1" ht="20.100000000000001" customHeight="1" x14ac:dyDescent="0.3">
      <c r="B33" s="39" t="s">
        <v>113</v>
      </c>
      <c r="C33" s="38"/>
      <c r="D33" s="46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s="36" customFormat="1" ht="20.100000000000001" customHeight="1" x14ac:dyDescent="0.3">
      <c r="B34" s="39" t="s">
        <v>306</v>
      </c>
      <c r="C34" s="38"/>
      <c r="D34" s="46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s="36" customFormat="1" ht="11.25" customHeight="1" x14ac:dyDescent="0.3">
      <c r="B35" s="41"/>
      <c r="C35" s="41"/>
      <c r="D35" s="46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s="36" customFormat="1" ht="41.25" customHeight="1" x14ac:dyDescent="0.3">
      <c r="B36" s="134" t="s">
        <v>0</v>
      </c>
      <c r="C36" s="134" t="s">
        <v>1</v>
      </c>
      <c r="D36" s="135" t="s">
        <v>2</v>
      </c>
      <c r="E36" s="132" t="s">
        <v>3</v>
      </c>
      <c r="F36" s="132"/>
      <c r="G36" s="132"/>
      <c r="H36" s="132" t="s">
        <v>4</v>
      </c>
      <c r="I36" s="132" t="s">
        <v>5</v>
      </c>
      <c r="J36" s="132"/>
      <c r="K36" s="132"/>
      <c r="L36" s="132"/>
      <c r="M36" s="132" t="s">
        <v>6</v>
      </c>
      <c r="N36" s="132"/>
      <c r="O36" s="132"/>
      <c r="P36" s="132"/>
    </row>
    <row r="37" spans="1:16" s="36" customFormat="1" ht="41.25" customHeight="1" x14ac:dyDescent="0.3">
      <c r="B37" s="134"/>
      <c r="C37" s="134"/>
      <c r="D37" s="135"/>
      <c r="E37" s="66" t="s">
        <v>7</v>
      </c>
      <c r="F37" s="66" t="s">
        <v>8</v>
      </c>
      <c r="G37" s="66" t="s">
        <v>9</v>
      </c>
      <c r="H37" s="132"/>
      <c r="I37" s="66" t="s">
        <v>114</v>
      </c>
      <c r="J37" s="66" t="s">
        <v>10</v>
      </c>
      <c r="K37" s="66" t="s">
        <v>11</v>
      </c>
      <c r="L37" s="66" t="s">
        <v>12</v>
      </c>
      <c r="M37" s="66" t="s">
        <v>13</v>
      </c>
      <c r="N37" s="66" t="s">
        <v>14</v>
      </c>
      <c r="O37" s="66" t="s">
        <v>15</v>
      </c>
      <c r="P37" s="66" t="s">
        <v>16</v>
      </c>
    </row>
    <row r="38" spans="1:16" ht="20.100000000000001" customHeight="1" x14ac:dyDescent="0.25">
      <c r="A38" s="27">
        <v>2</v>
      </c>
      <c r="B38" s="132" t="s">
        <v>17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1:16" ht="24" customHeight="1" x14ac:dyDescent="0.25">
      <c r="A39" s="27">
        <v>2</v>
      </c>
      <c r="B39" s="61" t="s">
        <v>232</v>
      </c>
      <c r="C39" s="71" t="s">
        <v>110</v>
      </c>
      <c r="D39" s="123" t="s">
        <v>310</v>
      </c>
      <c r="E39" s="64">
        <v>13.14</v>
      </c>
      <c r="F39" s="64">
        <v>10.8</v>
      </c>
      <c r="G39" s="64">
        <v>26.7</v>
      </c>
      <c r="H39" s="64">
        <v>262.8</v>
      </c>
      <c r="I39" s="64">
        <v>4.4999999999999998E-2</v>
      </c>
      <c r="J39" s="64">
        <v>1.155</v>
      </c>
      <c r="K39" s="64">
        <v>0.06</v>
      </c>
      <c r="L39" s="64">
        <v>4.2750000000000004</v>
      </c>
      <c r="M39" s="64">
        <v>112.41</v>
      </c>
      <c r="N39" s="64">
        <v>157.875</v>
      </c>
      <c r="O39" s="64">
        <v>16.829999999999998</v>
      </c>
      <c r="P39" s="64">
        <v>0.66</v>
      </c>
    </row>
    <row r="40" spans="1:16" ht="24.6" customHeight="1" x14ac:dyDescent="0.25">
      <c r="B40" s="61" t="s">
        <v>187</v>
      </c>
      <c r="C40" s="71" t="s">
        <v>24</v>
      </c>
      <c r="D40" s="111">
        <v>30</v>
      </c>
      <c r="E40" s="64">
        <v>2.4</v>
      </c>
      <c r="F40" s="64">
        <v>7.4999999999999997E-2</v>
      </c>
      <c r="G40" s="64">
        <v>15.9</v>
      </c>
      <c r="H40" s="64">
        <v>81</v>
      </c>
      <c r="I40" s="64">
        <v>0.06</v>
      </c>
      <c r="J40" s="64">
        <v>1.2</v>
      </c>
      <c r="K40" s="64">
        <v>0</v>
      </c>
      <c r="L40" s="64">
        <v>0</v>
      </c>
      <c r="M40" s="64">
        <v>11.4</v>
      </c>
      <c r="N40" s="64">
        <v>39</v>
      </c>
      <c r="O40" s="64">
        <v>7.8</v>
      </c>
      <c r="P40" s="64">
        <v>0.75</v>
      </c>
    </row>
    <row r="41" spans="1:16" s="68" customFormat="1" ht="24.6" customHeight="1" x14ac:dyDescent="0.25">
      <c r="B41" s="61" t="s">
        <v>233</v>
      </c>
      <c r="C41" s="71" t="s">
        <v>234</v>
      </c>
      <c r="D41" s="111">
        <v>30</v>
      </c>
      <c r="E41" s="64">
        <v>5.88</v>
      </c>
      <c r="F41" s="64">
        <v>10.44</v>
      </c>
      <c r="G41" s="64">
        <v>0</v>
      </c>
      <c r="H41" s="64">
        <v>105.21</v>
      </c>
      <c r="I41" s="64">
        <v>0.18600000000000003</v>
      </c>
      <c r="J41" s="64">
        <v>0</v>
      </c>
      <c r="K41" s="64">
        <v>0</v>
      </c>
      <c r="L41" s="64">
        <v>0.12</v>
      </c>
      <c r="M41" s="64">
        <v>6.6</v>
      </c>
      <c r="N41" s="64">
        <v>48</v>
      </c>
      <c r="O41" s="64">
        <v>6.6</v>
      </c>
      <c r="P41" s="64">
        <v>0.54</v>
      </c>
    </row>
    <row r="42" spans="1:16" s="68" customFormat="1" ht="24.6" customHeight="1" x14ac:dyDescent="0.25">
      <c r="B42" s="61" t="s">
        <v>228</v>
      </c>
      <c r="C42" s="71" t="s">
        <v>229</v>
      </c>
      <c r="D42" s="111">
        <v>20</v>
      </c>
      <c r="E42" s="64">
        <v>4.6399999999999997</v>
      </c>
      <c r="F42" s="64">
        <v>5.9</v>
      </c>
      <c r="G42" s="64">
        <v>0</v>
      </c>
      <c r="H42" s="64">
        <v>71.66</v>
      </c>
      <c r="I42" s="64">
        <v>0</v>
      </c>
      <c r="J42" s="64">
        <v>0.14000000000000001</v>
      </c>
      <c r="K42" s="64">
        <v>5.2000000000000005E-2</v>
      </c>
      <c r="L42" s="64">
        <v>0.1</v>
      </c>
      <c r="M42" s="64">
        <v>176</v>
      </c>
      <c r="N42" s="64">
        <v>100</v>
      </c>
      <c r="O42" s="64">
        <v>7</v>
      </c>
      <c r="P42" s="64">
        <v>0.2</v>
      </c>
    </row>
    <row r="43" spans="1:16" s="68" customFormat="1" ht="24.6" customHeight="1" x14ac:dyDescent="0.25">
      <c r="B43" s="61"/>
      <c r="C43" s="71" t="s">
        <v>172</v>
      </c>
      <c r="D43" s="111"/>
      <c r="E43" s="64">
        <f>SUM(E41:E42)/2</f>
        <v>5.26</v>
      </c>
      <c r="F43" s="64">
        <f t="shared" ref="F43:P43" si="5">SUM(F41:F42)/2</f>
        <v>8.17</v>
      </c>
      <c r="G43" s="64">
        <f t="shared" si="5"/>
        <v>0</v>
      </c>
      <c r="H43" s="64">
        <f t="shared" si="5"/>
        <v>88.435000000000002</v>
      </c>
      <c r="I43" s="64">
        <f t="shared" si="5"/>
        <v>9.3000000000000013E-2</v>
      </c>
      <c r="J43" s="64">
        <f t="shared" si="5"/>
        <v>7.0000000000000007E-2</v>
      </c>
      <c r="K43" s="64">
        <f t="shared" si="5"/>
        <v>2.6000000000000002E-2</v>
      </c>
      <c r="L43" s="64">
        <f t="shared" si="5"/>
        <v>0.11</v>
      </c>
      <c r="M43" s="64">
        <f t="shared" si="5"/>
        <v>91.3</v>
      </c>
      <c r="N43" s="64">
        <f t="shared" si="5"/>
        <v>74</v>
      </c>
      <c r="O43" s="64">
        <f t="shared" si="5"/>
        <v>6.8</v>
      </c>
      <c r="P43" s="64">
        <f t="shared" si="5"/>
        <v>0.37</v>
      </c>
    </row>
    <row r="44" spans="1:16" s="68" customFormat="1" ht="24.6" customHeight="1" x14ac:dyDescent="0.25">
      <c r="B44" s="61"/>
      <c r="C44" s="71" t="s">
        <v>174</v>
      </c>
      <c r="D44" s="111">
        <v>150</v>
      </c>
      <c r="E44" s="64">
        <v>1.3999999999999997</v>
      </c>
      <c r="F44" s="64">
        <v>0.20000000000000004</v>
      </c>
      <c r="G44" s="64">
        <v>14.3</v>
      </c>
      <c r="H44" s="64">
        <v>70.5</v>
      </c>
      <c r="I44" s="64">
        <v>5.9999999999999991E-2</v>
      </c>
      <c r="J44" s="64">
        <v>15</v>
      </c>
      <c r="K44" s="64">
        <v>0</v>
      </c>
      <c r="L44" s="64">
        <v>1.7</v>
      </c>
      <c r="M44" s="64">
        <v>30</v>
      </c>
      <c r="N44" s="64">
        <v>51</v>
      </c>
      <c r="O44" s="64">
        <v>24</v>
      </c>
      <c r="P44" s="64">
        <v>0.9</v>
      </c>
    </row>
    <row r="45" spans="1:16" s="68" customFormat="1" ht="24.6" customHeight="1" x14ac:dyDescent="0.25">
      <c r="B45" s="61" t="s">
        <v>235</v>
      </c>
      <c r="C45" s="71" t="s">
        <v>26</v>
      </c>
      <c r="D45" s="111" t="s">
        <v>127</v>
      </c>
      <c r="E45" s="64">
        <v>0.08</v>
      </c>
      <c r="F45" s="64">
        <v>0.02</v>
      </c>
      <c r="G45" s="64">
        <v>15</v>
      </c>
      <c r="H45" s="64">
        <v>60.5</v>
      </c>
      <c r="I45" s="64">
        <v>0</v>
      </c>
      <c r="J45" s="64">
        <v>0.04</v>
      </c>
      <c r="K45" s="64">
        <v>0</v>
      </c>
      <c r="L45" s="64">
        <v>0</v>
      </c>
      <c r="M45" s="64">
        <v>11.1</v>
      </c>
      <c r="N45" s="64">
        <v>2.8</v>
      </c>
      <c r="O45" s="64">
        <v>1.4</v>
      </c>
      <c r="P45" s="64">
        <v>0.28000000000000003</v>
      </c>
    </row>
    <row r="46" spans="1:16" ht="24" customHeight="1" x14ac:dyDescent="0.25">
      <c r="A46" s="27">
        <v>2</v>
      </c>
      <c r="B46" s="61" t="s">
        <v>157</v>
      </c>
      <c r="C46" s="71" t="s">
        <v>158</v>
      </c>
      <c r="D46" s="111" t="s">
        <v>126</v>
      </c>
      <c r="E46" s="69">
        <v>0.14000000000000001</v>
      </c>
      <c r="F46" s="69">
        <v>0.02</v>
      </c>
      <c r="G46" s="69">
        <v>15.2</v>
      </c>
      <c r="H46" s="69">
        <v>61.54</v>
      </c>
      <c r="I46" s="69">
        <v>0</v>
      </c>
      <c r="J46" s="69">
        <v>2.84</v>
      </c>
      <c r="K46" s="69">
        <v>0</v>
      </c>
      <c r="L46" s="69">
        <v>0.02</v>
      </c>
      <c r="M46" s="69">
        <v>14.2</v>
      </c>
      <c r="N46" s="69">
        <v>4.4000000000000004</v>
      </c>
      <c r="O46" s="69">
        <v>2.4</v>
      </c>
      <c r="P46" s="69">
        <v>0.36</v>
      </c>
    </row>
    <row r="47" spans="1:16" ht="20.100000000000001" customHeight="1" x14ac:dyDescent="0.25">
      <c r="A47" s="27">
        <v>2</v>
      </c>
      <c r="B47" s="61"/>
      <c r="C47" s="71" t="s">
        <v>172</v>
      </c>
      <c r="D47" s="111"/>
      <c r="E47" s="64">
        <f>SUM(E45:E46)/2</f>
        <v>0.11000000000000001</v>
      </c>
      <c r="F47" s="64">
        <f t="shared" ref="F47:P47" si="6">SUM(F45:F46)/2</f>
        <v>0.02</v>
      </c>
      <c r="G47" s="64">
        <f t="shared" si="6"/>
        <v>15.1</v>
      </c>
      <c r="H47" s="64">
        <f t="shared" si="6"/>
        <v>61.019999999999996</v>
      </c>
      <c r="I47" s="64">
        <f t="shared" si="6"/>
        <v>0</v>
      </c>
      <c r="J47" s="64">
        <f t="shared" si="6"/>
        <v>1.44</v>
      </c>
      <c r="K47" s="64">
        <f t="shared" si="6"/>
        <v>0</v>
      </c>
      <c r="L47" s="64">
        <f t="shared" si="6"/>
        <v>0.01</v>
      </c>
      <c r="M47" s="64">
        <f t="shared" si="6"/>
        <v>12.649999999999999</v>
      </c>
      <c r="N47" s="64">
        <f t="shared" si="6"/>
        <v>3.6</v>
      </c>
      <c r="O47" s="64">
        <f t="shared" si="6"/>
        <v>1.9</v>
      </c>
      <c r="P47" s="64">
        <f t="shared" si="6"/>
        <v>0.32</v>
      </c>
    </row>
    <row r="48" spans="1:16" ht="20.100000000000001" customHeight="1" x14ac:dyDescent="0.25">
      <c r="A48" s="27">
        <v>2</v>
      </c>
      <c r="B48" s="114"/>
      <c r="C48" s="114" t="s">
        <v>18</v>
      </c>
      <c r="D48" s="115"/>
      <c r="E48" s="114">
        <f>SUM(E39+E40+E43+E44+E47)</f>
        <v>22.31</v>
      </c>
      <c r="F48" s="114">
        <f t="shared" ref="F48:P48" si="7">SUM(F39+F40+F43+F44+F47)</f>
        <v>19.265000000000001</v>
      </c>
      <c r="G48" s="114">
        <f t="shared" si="7"/>
        <v>72</v>
      </c>
      <c r="H48" s="114">
        <f t="shared" si="7"/>
        <v>563.755</v>
      </c>
      <c r="I48" s="114">
        <f t="shared" si="7"/>
        <v>0.25800000000000001</v>
      </c>
      <c r="J48" s="114">
        <f t="shared" si="7"/>
        <v>18.865000000000002</v>
      </c>
      <c r="K48" s="114">
        <f t="shared" si="7"/>
        <v>8.5999999999999993E-2</v>
      </c>
      <c r="L48" s="114">
        <f t="shared" si="7"/>
        <v>6.0950000000000006</v>
      </c>
      <c r="M48" s="114">
        <f t="shared" si="7"/>
        <v>257.76</v>
      </c>
      <c r="N48" s="114">
        <f t="shared" si="7"/>
        <v>325.47500000000002</v>
      </c>
      <c r="O48" s="114">
        <f t="shared" si="7"/>
        <v>57.33</v>
      </c>
      <c r="P48" s="114">
        <f t="shared" si="7"/>
        <v>3</v>
      </c>
    </row>
    <row r="49" spans="1:16" ht="20.100000000000001" customHeight="1" x14ac:dyDescent="0.25">
      <c r="A49" s="27">
        <v>2</v>
      </c>
      <c r="B49" s="132" t="s">
        <v>19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</row>
    <row r="50" spans="1:16" ht="21.75" customHeight="1" x14ac:dyDescent="0.25">
      <c r="A50" s="27">
        <v>2</v>
      </c>
      <c r="B50" s="122" t="s">
        <v>184</v>
      </c>
      <c r="C50" s="71" t="s">
        <v>311</v>
      </c>
      <c r="D50" s="123">
        <v>100</v>
      </c>
      <c r="E50" s="32">
        <v>1.1000000000000001</v>
      </c>
      <c r="F50" s="32">
        <v>0.2</v>
      </c>
      <c r="G50" s="32">
        <v>3.8</v>
      </c>
      <c r="H50" s="32">
        <v>21.4</v>
      </c>
      <c r="I50" s="32">
        <v>0.06</v>
      </c>
      <c r="J50" s="32">
        <v>25</v>
      </c>
      <c r="K50" s="32">
        <v>0</v>
      </c>
      <c r="L50" s="32">
        <v>0.7</v>
      </c>
      <c r="M50" s="32">
        <v>14</v>
      </c>
      <c r="N50" s="32">
        <v>26</v>
      </c>
      <c r="O50" s="32">
        <v>20</v>
      </c>
      <c r="P50" s="32">
        <v>0.9</v>
      </c>
    </row>
    <row r="51" spans="1:16" ht="20.25" customHeight="1" x14ac:dyDescent="0.25">
      <c r="B51" s="122" t="s">
        <v>185</v>
      </c>
      <c r="C51" s="71" t="s">
        <v>328</v>
      </c>
      <c r="D51" s="123">
        <v>100</v>
      </c>
      <c r="E51" s="32">
        <v>1.1000000000000001</v>
      </c>
      <c r="F51" s="32">
        <v>0.1</v>
      </c>
      <c r="G51" s="32">
        <v>3.5</v>
      </c>
      <c r="H51" s="32">
        <v>19.3</v>
      </c>
      <c r="I51" s="32">
        <v>0.01</v>
      </c>
      <c r="J51" s="32">
        <v>15</v>
      </c>
      <c r="K51" s="32">
        <v>0</v>
      </c>
      <c r="L51" s="32">
        <v>0.7</v>
      </c>
      <c r="M51" s="32">
        <v>10</v>
      </c>
      <c r="N51" s="32">
        <v>35</v>
      </c>
      <c r="O51" s="32">
        <v>15</v>
      </c>
      <c r="P51" s="32">
        <v>0.8</v>
      </c>
    </row>
    <row r="52" spans="1:16" ht="19.5" customHeight="1" x14ac:dyDescent="0.25">
      <c r="B52" s="66"/>
      <c r="C52" s="37" t="s">
        <v>172</v>
      </c>
      <c r="D52" s="72"/>
      <c r="E52" s="32">
        <f>SUM(E50:E51)/2</f>
        <v>1.1000000000000001</v>
      </c>
      <c r="F52" s="32">
        <f t="shared" ref="F52:P52" si="8">SUM(F50:F51)/2</f>
        <v>0.15000000000000002</v>
      </c>
      <c r="G52" s="32">
        <f t="shared" si="8"/>
        <v>3.65</v>
      </c>
      <c r="H52" s="32">
        <f t="shared" si="8"/>
        <v>20.350000000000001</v>
      </c>
      <c r="I52" s="32">
        <f t="shared" si="8"/>
        <v>3.4999999999999996E-2</v>
      </c>
      <c r="J52" s="32">
        <f t="shared" si="8"/>
        <v>20</v>
      </c>
      <c r="K52" s="32">
        <f t="shared" si="8"/>
        <v>0</v>
      </c>
      <c r="L52" s="32">
        <f t="shared" si="8"/>
        <v>0.7</v>
      </c>
      <c r="M52" s="32">
        <f t="shared" si="8"/>
        <v>12</v>
      </c>
      <c r="N52" s="32">
        <f t="shared" si="8"/>
        <v>30.5</v>
      </c>
      <c r="O52" s="32">
        <f t="shared" si="8"/>
        <v>17.5</v>
      </c>
      <c r="P52" s="32">
        <f t="shared" si="8"/>
        <v>0.85000000000000009</v>
      </c>
    </row>
    <row r="53" spans="1:16" ht="21" customHeight="1" x14ac:dyDescent="0.25">
      <c r="B53" s="63" t="s">
        <v>169</v>
      </c>
      <c r="C53" s="50" t="s">
        <v>50</v>
      </c>
      <c r="D53" s="49">
        <v>250</v>
      </c>
      <c r="E53" s="30">
        <v>5.5</v>
      </c>
      <c r="F53" s="30">
        <v>5.25</v>
      </c>
      <c r="G53" s="30">
        <v>16.5</v>
      </c>
      <c r="H53" s="30">
        <v>148.25</v>
      </c>
      <c r="I53" s="30">
        <v>0</v>
      </c>
      <c r="J53" s="30">
        <v>0.25</v>
      </c>
      <c r="K53" s="30">
        <v>5.75</v>
      </c>
      <c r="L53" s="30">
        <v>2.5</v>
      </c>
      <c r="M53" s="30">
        <v>42.75</v>
      </c>
      <c r="N53" s="30">
        <v>35.5</v>
      </c>
      <c r="O53" s="30">
        <v>88</v>
      </c>
      <c r="P53" s="30">
        <v>2</v>
      </c>
    </row>
    <row r="54" spans="1:16" s="68" customFormat="1" ht="20.100000000000001" customHeight="1" x14ac:dyDescent="0.25">
      <c r="B54" s="110" t="s">
        <v>193</v>
      </c>
      <c r="C54" s="71" t="s">
        <v>291</v>
      </c>
      <c r="D54" s="88">
        <v>280</v>
      </c>
      <c r="E54" s="32">
        <v>34.159999999999997</v>
      </c>
      <c r="F54" s="32">
        <v>19.25</v>
      </c>
      <c r="G54" s="32">
        <v>66.36</v>
      </c>
      <c r="H54" s="32">
        <v>510.17</v>
      </c>
      <c r="I54" s="32">
        <v>0</v>
      </c>
      <c r="J54" s="32">
        <v>0</v>
      </c>
      <c r="K54" s="32">
        <v>0</v>
      </c>
      <c r="L54" s="32">
        <v>0.7</v>
      </c>
      <c r="M54" s="32">
        <v>3.2</v>
      </c>
      <c r="N54" s="32">
        <v>24.8</v>
      </c>
      <c r="O54" s="32">
        <v>14.1</v>
      </c>
      <c r="P54" s="32">
        <v>0.7</v>
      </c>
    </row>
    <row r="55" spans="1:16" ht="20.100000000000001" customHeight="1" x14ac:dyDescent="0.25">
      <c r="A55" s="27">
        <v>2</v>
      </c>
      <c r="B55" s="66" t="s">
        <v>173</v>
      </c>
      <c r="C55" s="37" t="s">
        <v>51</v>
      </c>
      <c r="D55" s="67">
        <v>200</v>
      </c>
      <c r="E55" s="32">
        <v>0.16</v>
      </c>
      <c r="F55" s="32">
        <v>0.16</v>
      </c>
      <c r="G55" s="32">
        <v>19.88</v>
      </c>
      <c r="H55" s="32">
        <v>81.599999999999994</v>
      </c>
      <c r="I55" s="32">
        <v>0.02</v>
      </c>
      <c r="J55" s="32">
        <v>0.9</v>
      </c>
      <c r="K55" s="32">
        <v>0</v>
      </c>
      <c r="L55" s="32">
        <v>0.08</v>
      </c>
      <c r="M55" s="32">
        <v>13.94</v>
      </c>
      <c r="N55" s="32">
        <v>4.4000000000000004</v>
      </c>
      <c r="O55" s="32">
        <v>5.14</v>
      </c>
      <c r="P55" s="32">
        <v>0.93600000000000005</v>
      </c>
    </row>
    <row r="56" spans="1:16" ht="20.100000000000001" customHeight="1" x14ac:dyDescent="0.25">
      <c r="A56" s="27">
        <v>2</v>
      </c>
      <c r="B56" s="122" t="s">
        <v>182</v>
      </c>
      <c r="C56" s="71" t="s">
        <v>20</v>
      </c>
      <c r="D56" s="123">
        <v>40</v>
      </c>
      <c r="E56" s="30">
        <v>3.0666666666666664</v>
      </c>
      <c r="F56" s="30">
        <v>0.26666666666666672</v>
      </c>
      <c r="G56" s="30">
        <v>19.733333333333334</v>
      </c>
      <c r="H56" s="30">
        <v>94</v>
      </c>
      <c r="I56" s="30">
        <v>0</v>
      </c>
      <c r="J56" s="30">
        <v>0</v>
      </c>
      <c r="K56" s="30">
        <v>0</v>
      </c>
      <c r="L56" s="30">
        <v>0.4</v>
      </c>
      <c r="M56" s="30">
        <v>8</v>
      </c>
      <c r="N56" s="30">
        <v>26</v>
      </c>
      <c r="O56" s="30">
        <v>5.6000000000000014</v>
      </c>
      <c r="P56" s="30">
        <v>0.4</v>
      </c>
    </row>
    <row r="57" spans="1:16" ht="20.100000000000001" customHeight="1" x14ac:dyDescent="0.25">
      <c r="A57" s="27">
        <v>2</v>
      </c>
      <c r="B57" s="122" t="s">
        <v>191</v>
      </c>
      <c r="C57" s="71" t="s">
        <v>21</v>
      </c>
      <c r="D57" s="123">
        <v>50</v>
      </c>
      <c r="E57" s="30">
        <v>3.25</v>
      </c>
      <c r="F57" s="30">
        <v>0.625</v>
      </c>
      <c r="G57" s="30">
        <v>19.75</v>
      </c>
      <c r="H57" s="30">
        <v>99</v>
      </c>
      <c r="I57" s="30">
        <v>0.125</v>
      </c>
      <c r="J57" s="30">
        <v>0</v>
      </c>
      <c r="K57" s="30">
        <v>0</v>
      </c>
      <c r="L57" s="30">
        <v>0.75</v>
      </c>
      <c r="M57" s="30">
        <v>14.499999999999998</v>
      </c>
      <c r="N57" s="30">
        <v>75</v>
      </c>
      <c r="O57" s="30">
        <v>23.5</v>
      </c>
      <c r="P57" s="30">
        <v>2</v>
      </c>
    </row>
    <row r="58" spans="1:16" ht="20.100000000000001" customHeight="1" x14ac:dyDescent="0.25">
      <c r="A58" s="27">
        <v>2</v>
      </c>
      <c r="B58" s="114"/>
      <c r="C58" s="114" t="s">
        <v>18</v>
      </c>
      <c r="D58" s="115"/>
      <c r="E58" s="114">
        <f>E52+E53+E54+E55+E56+E57</f>
        <v>47.236666666666665</v>
      </c>
      <c r="F58" s="114">
        <f t="shared" ref="F58:P58" si="9">F52+F53+F54+F55+F56+F57</f>
        <v>25.701666666666664</v>
      </c>
      <c r="G58" s="114">
        <f t="shared" si="9"/>
        <v>145.87333333333333</v>
      </c>
      <c r="H58" s="114">
        <f t="shared" si="9"/>
        <v>953.37</v>
      </c>
      <c r="I58" s="114">
        <f t="shared" si="9"/>
        <v>0.18</v>
      </c>
      <c r="J58" s="114">
        <f t="shared" si="9"/>
        <v>21.15</v>
      </c>
      <c r="K58" s="114">
        <f t="shared" si="9"/>
        <v>5.75</v>
      </c>
      <c r="L58" s="114">
        <f t="shared" si="9"/>
        <v>5.1300000000000008</v>
      </c>
      <c r="M58" s="114">
        <f t="shared" si="9"/>
        <v>94.39</v>
      </c>
      <c r="N58" s="114">
        <f t="shared" si="9"/>
        <v>196.2</v>
      </c>
      <c r="O58" s="114">
        <f t="shared" si="9"/>
        <v>153.84</v>
      </c>
      <c r="P58" s="114">
        <f t="shared" si="9"/>
        <v>6.8860000000000001</v>
      </c>
    </row>
    <row r="59" spans="1:16" ht="20.100000000000001" customHeight="1" x14ac:dyDescent="0.25">
      <c r="A59" s="27">
        <v>2</v>
      </c>
      <c r="B59" s="132" t="s">
        <v>22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ht="36" customHeight="1" x14ac:dyDescent="0.25">
      <c r="A60" s="27">
        <v>2</v>
      </c>
      <c r="B60" s="74" t="s">
        <v>198</v>
      </c>
      <c r="C60" s="42" t="s">
        <v>324</v>
      </c>
      <c r="D60" s="35">
        <v>100</v>
      </c>
      <c r="E60" s="33">
        <v>12.88</v>
      </c>
      <c r="F60" s="33">
        <v>12.86</v>
      </c>
      <c r="G60" s="33">
        <v>16.38</v>
      </c>
      <c r="H60" s="33">
        <v>236.94</v>
      </c>
      <c r="I60" s="33">
        <v>7.0000000000000007E-2</v>
      </c>
      <c r="J60" s="33">
        <v>3</v>
      </c>
      <c r="K60" s="33">
        <v>82.5</v>
      </c>
      <c r="L60" s="33">
        <v>0.81</v>
      </c>
      <c r="M60" s="33">
        <v>236.94</v>
      </c>
      <c r="N60" s="33">
        <v>192.1</v>
      </c>
      <c r="O60" s="33">
        <v>21.05</v>
      </c>
      <c r="P60" s="33">
        <v>1.2</v>
      </c>
    </row>
    <row r="61" spans="1:16" ht="39" hidden="1" customHeight="1" x14ac:dyDescent="0.25">
      <c r="B61" s="74"/>
      <c r="C61" s="42" t="e">
        <v>#REF!</v>
      </c>
      <c r="D61" s="35">
        <v>150</v>
      </c>
      <c r="E61" s="33" t="e">
        <v>#REF!</v>
      </c>
      <c r="F61" s="34" t="e">
        <v>#REF!</v>
      </c>
      <c r="G61" s="34" t="e">
        <v>#REF!</v>
      </c>
      <c r="H61" s="34" t="e">
        <v>#REF!</v>
      </c>
      <c r="I61" s="34" t="e">
        <v>#REF!</v>
      </c>
      <c r="J61" s="34" t="e">
        <v>#REF!</v>
      </c>
      <c r="K61" s="34" t="e">
        <v>#REF!</v>
      </c>
      <c r="L61" s="34" t="e">
        <v>#REF!</v>
      </c>
      <c r="M61" s="34" t="e">
        <v>#REF!</v>
      </c>
      <c r="N61" s="34" t="e">
        <v>#REF!</v>
      </c>
      <c r="O61" s="34" t="e">
        <v>#REF!</v>
      </c>
      <c r="P61" s="34" t="e">
        <v>#REF!</v>
      </c>
    </row>
    <row r="62" spans="1:16" ht="19.899999999999999" hidden="1" customHeight="1" x14ac:dyDescent="0.25">
      <c r="A62" s="27">
        <v>2</v>
      </c>
      <c r="B62" s="74"/>
      <c r="C62" s="42" t="e">
        <v>#REF!</v>
      </c>
      <c r="D62" s="35">
        <v>10</v>
      </c>
      <c r="E62" s="33" t="e">
        <v>#REF!</v>
      </c>
      <c r="F62" s="34">
        <v>0.06</v>
      </c>
      <c r="G62" s="34">
        <v>30.2</v>
      </c>
      <c r="H62" s="34">
        <v>123.66</v>
      </c>
      <c r="I62" s="34">
        <v>0</v>
      </c>
      <c r="J62" s="34">
        <v>1.1000000000000001</v>
      </c>
      <c r="K62" s="34">
        <v>0</v>
      </c>
      <c r="L62" s="34">
        <v>0.18</v>
      </c>
      <c r="M62" s="34">
        <v>15.7</v>
      </c>
      <c r="N62" s="34">
        <v>16.32</v>
      </c>
      <c r="O62" s="34">
        <v>3.36</v>
      </c>
      <c r="P62" s="34">
        <v>0.38</v>
      </c>
    </row>
    <row r="63" spans="1:16" ht="20.100000000000001" customHeight="1" x14ac:dyDescent="0.25">
      <c r="B63" s="74" t="s">
        <v>212</v>
      </c>
      <c r="C63" s="42" t="s">
        <v>55</v>
      </c>
      <c r="D63" s="35">
        <v>200</v>
      </c>
      <c r="E63" s="33">
        <v>0.57999999999999996</v>
      </c>
      <c r="F63" s="33">
        <v>0.06</v>
      </c>
      <c r="G63" s="33">
        <v>30.2</v>
      </c>
      <c r="H63" s="33">
        <v>123.66</v>
      </c>
      <c r="I63" s="33">
        <v>0</v>
      </c>
      <c r="J63" s="33">
        <v>1.1000000000000001</v>
      </c>
      <c r="K63" s="33">
        <v>0</v>
      </c>
      <c r="L63" s="33">
        <v>0.18</v>
      </c>
      <c r="M63" s="33">
        <v>15.7</v>
      </c>
      <c r="N63" s="33">
        <v>16.32</v>
      </c>
      <c r="O63" s="33">
        <v>3.36</v>
      </c>
      <c r="P63" s="33">
        <v>0.38</v>
      </c>
    </row>
    <row r="64" spans="1:16" ht="20.100000000000001" customHeight="1" x14ac:dyDescent="0.25">
      <c r="A64" s="27">
        <v>2</v>
      </c>
      <c r="B64" s="116"/>
      <c r="C64" s="114" t="s">
        <v>18</v>
      </c>
      <c r="D64" s="117"/>
      <c r="E64" s="114">
        <f>SUM(E60+E63)</f>
        <v>13.46</v>
      </c>
      <c r="F64" s="114">
        <f t="shared" ref="F64:P64" si="10">SUM(F60+F63)</f>
        <v>12.92</v>
      </c>
      <c r="G64" s="114">
        <f t="shared" si="10"/>
        <v>46.58</v>
      </c>
      <c r="H64" s="114">
        <f t="shared" si="10"/>
        <v>360.6</v>
      </c>
      <c r="I64" s="114">
        <f t="shared" si="10"/>
        <v>7.0000000000000007E-2</v>
      </c>
      <c r="J64" s="114">
        <f t="shared" si="10"/>
        <v>4.0999999999999996</v>
      </c>
      <c r="K64" s="114">
        <f t="shared" si="10"/>
        <v>82.5</v>
      </c>
      <c r="L64" s="114">
        <f t="shared" si="10"/>
        <v>0.99</v>
      </c>
      <c r="M64" s="114">
        <f t="shared" si="10"/>
        <v>252.64</v>
      </c>
      <c r="N64" s="114">
        <f t="shared" si="10"/>
        <v>208.42</v>
      </c>
      <c r="O64" s="114">
        <f t="shared" si="10"/>
        <v>24.41</v>
      </c>
      <c r="P64" s="114">
        <f t="shared" si="10"/>
        <v>1.58</v>
      </c>
    </row>
    <row r="65" spans="1:16" ht="20.100000000000001" customHeight="1" x14ac:dyDescent="0.25">
      <c r="A65" s="27">
        <v>2</v>
      </c>
      <c r="B65" s="30"/>
      <c r="C65" s="66" t="s">
        <v>25</v>
      </c>
      <c r="D65" s="67"/>
      <c r="E65" s="66">
        <f t="shared" ref="E65:P65" si="11">SUM(E48+E58+E64)</f>
        <v>83.006666666666661</v>
      </c>
      <c r="F65" s="118">
        <f t="shared" si="11"/>
        <v>57.88666666666667</v>
      </c>
      <c r="G65" s="118">
        <f t="shared" si="11"/>
        <v>264.45333333333332</v>
      </c>
      <c r="H65" s="118">
        <f t="shared" si="11"/>
        <v>1877.7249999999999</v>
      </c>
      <c r="I65" s="118">
        <f t="shared" si="11"/>
        <v>0.50800000000000001</v>
      </c>
      <c r="J65" s="118">
        <f t="shared" si="11"/>
        <v>44.115000000000002</v>
      </c>
      <c r="K65" s="118">
        <f t="shared" si="11"/>
        <v>88.335999999999999</v>
      </c>
      <c r="L65" s="118">
        <f t="shared" si="11"/>
        <v>12.215000000000002</v>
      </c>
      <c r="M65" s="118">
        <f t="shared" si="11"/>
        <v>604.79</v>
      </c>
      <c r="N65" s="118">
        <f t="shared" si="11"/>
        <v>730.09499999999991</v>
      </c>
      <c r="O65" s="118">
        <f t="shared" si="11"/>
        <v>235.58</v>
      </c>
      <c r="P65" s="118">
        <f t="shared" si="11"/>
        <v>11.465999999999999</v>
      </c>
    </row>
    <row r="66" spans="1:16" s="36" customFormat="1" ht="20.100000000000001" customHeight="1" x14ac:dyDescent="0.3">
      <c r="B66" s="41"/>
      <c r="C66" s="41"/>
      <c r="D66" s="46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s="36" customFormat="1" ht="20.100000000000001" customHeight="1" x14ac:dyDescent="0.3">
      <c r="B67" s="39" t="s">
        <v>116</v>
      </c>
      <c r="C67" s="38"/>
      <c r="D67" s="46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s="36" customFormat="1" ht="20.100000000000001" customHeight="1" x14ac:dyDescent="0.3">
      <c r="B68" s="39" t="s">
        <v>113</v>
      </c>
      <c r="C68" s="38"/>
      <c r="D68" s="46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s="36" customFormat="1" ht="20.100000000000001" customHeight="1" x14ac:dyDescent="0.3">
      <c r="B69" s="39" t="s">
        <v>306</v>
      </c>
      <c r="C69" s="38"/>
      <c r="D69" s="4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s="36" customFormat="1" ht="19.899999999999999" hidden="1" customHeight="1" x14ac:dyDescent="0.3">
      <c r="B70" s="41"/>
      <c r="C70" s="41"/>
      <c r="D70" s="46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s="36" customFormat="1" ht="42.75" customHeight="1" x14ac:dyDescent="0.3">
      <c r="B71" s="134" t="s">
        <v>0</v>
      </c>
      <c r="C71" s="134" t="s">
        <v>1</v>
      </c>
      <c r="D71" s="135" t="s">
        <v>2</v>
      </c>
      <c r="E71" s="132" t="s">
        <v>3</v>
      </c>
      <c r="F71" s="132"/>
      <c r="G71" s="132"/>
      <c r="H71" s="132" t="s">
        <v>4</v>
      </c>
      <c r="I71" s="132" t="s">
        <v>5</v>
      </c>
      <c r="J71" s="132"/>
      <c r="K71" s="132"/>
      <c r="L71" s="132"/>
      <c r="M71" s="132" t="s">
        <v>6</v>
      </c>
      <c r="N71" s="132"/>
      <c r="O71" s="132"/>
      <c r="P71" s="132"/>
    </row>
    <row r="72" spans="1:16" s="36" customFormat="1" ht="29.45" customHeight="1" x14ac:dyDescent="0.3">
      <c r="B72" s="134"/>
      <c r="C72" s="134"/>
      <c r="D72" s="135"/>
      <c r="E72" s="66" t="s">
        <v>7</v>
      </c>
      <c r="F72" s="66" t="s">
        <v>8</v>
      </c>
      <c r="G72" s="66" t="s">
        <v>9</v>
      </c>
      <c r="H72" s="132"/>
      <c r="I72" s="66" t="s">
        <v>114</v>
      </c>
      <c r="J72" s="66" t="s">
        <v>10</v>
      </c>
      <c r="K72" s="66" t="s">
        <v>11</v>
      </c>
      <c r="L72" s="66" t="s">
        <v>12</v>
      </c>
      <c r="M72" s="66" t="s">
        <v>13</v>
      </c>
      <c r="N72" s="66" t="s">
        <v>14</v>
      </c>
      <c r="O72" s="66" t="s">
        <v>15</v>
      </c>
      <c r="P72" s="66" t="s">
        <v>16</v>
      </c>
    </row>
    <row r="73" spans="1:16" ht="25.5" customHeight="1" x14ac:dyDescent="0.25">
      <c r="A73" s="27">
        <v>3</v>
      </c>
      <c r="B73" s="132" t="s">
        <v>17</v>
      </c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</row>
    <row r="74" spans="1:16" ht="41.25" customHeight="1" x14ac:dyDescent="0.25">
      <c r="A74" s="27">
        <v>3</v>
      </c>
      <c r="B74" s="122" t="s">
        <v>239</v>
      </c>
      <c r="C74" s="71" t="s">
        <v>240</v>
      </c>
      <c r="D74" s="123" t="s">
        <v>307</v>
      </c>
      <c r="E74" s="69">
        <v>13.324999999999999</v>
      </c>
      <c r="F74" s="69">
        <v>8.4049999999999994</v>
      </c>
      <c r="G74" s="69">
        <v>27.265000000000001</v>
      </c>
      <c r="H74" s="69">
        <v>238.005</v>
      </c>
      <c r="I74" s="69">
        <v>8.199999999999999E-2</v>
      </c>
      <c r="J74" s="69">
        <v>1.1480000000000001</v>
      </c>
      <c r="K74" s="69">
        <v>6.1499999999999992E-2</v>
      </c>
      <c r="L74" s="69">
        <v>63.263000000000005</v>
      </c>
      <c r="M74" s="69">
        <v>130.58500000000001</v>
      </c>
      <c r="N74" s="69">
        <v>115.41500000000001</v>
      </c>
      <c r="O74" s="69">
        <v>19.884999999999998</v>
      </c>
      <c r="P74" s="69">
        <v>0.41</v>
      </c>
    </row>
    <row r="75" spans="1:16" ht="20.45" customHeight="1" x14ac:dyDescent="0.25">
      <c r="A75" s="27">
        <v>3</v>
      </c>
      <c r="B75" s="122" t="s">
        <v>213</v>
      </c>
      <c r="C75" s="71" t="s">
        <v>329</v>
      </c>
      <c r="D75" s="123" t="s">
        <v>310</v>
      </c>
      <c r="E75" s="69">
        <v>7.98</v>
      </c>
      <c r="F75" s="69">
        <v>14.91</v>
      </c>
      <c r="G75" s="69">
        <v>67.59899999999999</v>
      </c>
      <c r="H75" s="69">
        <v>462.84</v>
      </c>
      <c r="I75" s="69">
        <v>0.35700000000000004</v>
      </c>
      <c r="J75" s="69">
        <v>0</v>
      </c>
      <c r="K75" s="69">
        <v>7.14</v>
      </c>
      <c r="L75" s="69">
        <v>5.0819999999999999</v>
      </c>
      <c r="M75" s="69">
        <v>54.033000000000001</v>
      </c>
      <c r="N75" s="69">
        <v>267.267</v>
      </c>
      <c r="O75" s="69">
        <v>70.412999999999997</v>
      </c>
      <c r="P75" s="69">
        <v>2.7719999999999998</v>
      </c>
    </row>
    <row r="76" spans="1:16" ht="21.75" customHeight="1" x14ac:dyDescent="0.25">
      <c r="B76" s="110"/>
      <c r="C76" s="71" t="s">
        <v>172</v>
      </c>
      <c r="D76" s="111"/>
      <c r="E76" s="69">
        <f>SUM(E74:E75)/2</f>
        <v>10.6525</v>
      </c>
      <c r="F76" s="69">
        <f t="shared" ref="F76:P76" si="12">SUM(F74:F75)/2</f>
        <v>11.657499999999999</v>
      </c>
      <c r="G76" s="69">
        <f t="shared" si="12"/>
        <v>47.431999999999995</v>
      </c>
      <c r="H76" s="69">
        <f t="shared" si="12"/>
        <v>350.42250000000001</v>
      </c>
      <c r="I76" s="69">
        <f t="shared" si="12"/>
        <v>0.21950000000000003</v>
      </c>
      <c r="J76" s="69">
        <f t="shared" si="12"/>
        <v>0.57400000000000007</v>
      </c>
      <c r="K76" s="69">
        <f t="shared" si="12"/>
        <v>3.6007499999999997</v>
      </c>
      <c r="L76" s="69">
        <f t="shared" si="12"/>
        <v>34.172499999999999</v>
      </c>
      <c r="M76" s="69">
        <f t="shared" si="12"/>
        <v>92.308999999999997</v>
      </c>
      <c r="N76" s="69">
        <f t="shared" si="12"/>
        <v>191.34100000000001</v>
      </c>
      <c r="O76" s="69">
        <f t="shared" si="12"/>
        <v>45.149000000000001</v>
      </c>
      <c r="P76" s="69">
        <f t="shared" si="12"/>
        <v>1.591</v>
      </c>
    </row>
    <row r="77" spans="1:16" ht="29.45" customHeight="1" x14ac:dyDescent="0.25">
      <c r="B77" s="122" t="s">
        <v>187</v>
      </c>
      <c r="C77" s="71" t="s">
        <v>24</v>
      </c>
      <c r="D77" s="123">
        <v>40</v>
      </c>
      <c r="E77" s="69">
        <v>3</v>
      </c>
      <c r="F77" s="69">
        <v>1.1599999999999999</v>
      </c>
      <c r="G77" s="69">
        <v>20.56</v>
      </c>
      <c r="H77" s="69">
        <v>98.5</v>
      </c>
      <c r="I77" s="69">
        <v>4.4000000000000004E-2</v>
      </c>
      <c r="J77" s="69">
        <v>0</v>
      </c>
      <c r="K77" s="69">
        <v>0</v>
      </c>
      <c r="L77" s="69">
        <v>0.68</v>
      </c>
      <c r="M77" s="69">
        <v>7.6</v>
      </c>
      <c r="N77" s="69">
        <v>26</v>
      </c>
      <c r="O77" s="69">
        <v>5.2</v>
      </c>
      <c r="P77" s="69">
        <v>0.48</v>
      </c>
    </row>
    <row r="78" spans="1:16" s="68" customFormat="1" ht="30.6" customHeight="1" x14ac:dyDescent="0.25">
      <c r="B78" s="110" t="s">
        <v>211</v>
      </c>
      <c r="C78" s="71" t="s">
        <v>245</v>
      </c>
      <c r="D78" s="111">
        <v>10</v>
      </c>
      <c r="E78" s="69">
        <v>0.25</v>
      </c>
      <c r="F78" s="69">
        <v>5.3</v>
      </c>
      <c r="G78" s="69">
        <v>1.89</v>
      </c>
      <c r="H78" s="69">
        <v>56</v>
      </c>
      <c r="I78" s="69">
        <v>1E-3</v>
      </c>
      <c r="J78" s="69">
        <v>0</v>
      </c>
      <c r="K78" s="69">
        <v>0.04</v>
      </c>
      <c r="L78" s="69">
        <v>0.1</v>
      </c>
      <c r="M78" s="69">
        <v>2.4</v>
      </c>
      <c r="N78" s="69">
        <v>3</v>
      </c>
      <c r="O78" s="69">
        <v>0</v>
      </c>
      <c r="P78" s="69">
        <v>0.02</v>
      </c>
    </row>
    <row r="79" spans="1:16" s="68" customFormat="1" ht="19.899999999999999" customHeight="1" x14ac:dyDescent="0.25">
      <c r="B79" s="110" t="s">
        <v>224</v>
      </c>
      <c r="C79" s="71" t="s">
        <v>56</v>
      </c>
      <c r="D79" s="111">
        <v>200</v>
      </c>
      <c r="E79" s="69">
        <v>4.08</v>
      </c>
      <c r="F79" s="69">
        <v>3.54</v>
      </c>
      <c r="G79" s="69">
        <v>17.579999999999998</v>
      </c>
      <c r="H79" s="69">
        <v>118.5</v>
      </c>
      <c r="I79" s="69">
        <v>0.06</v>
      </c>
      <c r="J79" s="69">
        <v>1.58</v>
      </c>
      <c r="K79" s="69">
        <v>0.02</v>
      </c>
      <c r="L79" s="69">
        <v>0</v>
      </c>
      <c r="M79" s="69">
        <v>152.22</v>
      </c>
      <c r="N79" s="69">
        <v>124.56</v>
      </c>
      <c r="O79" s="69">
        <v>21.34</v>
      </c>
      <c r="P79" s="69">
        <v>0.48</v>
      </c>
    </row>
    <row r="80" spans="1:16" s="68" customFormat="1" ht="18.600000000000001" customHeight="1" x14ac:dyDescent="0.25">
      <c r="B80" s="110"/>
      <c r="C80" s="71" t="s">
        <v>174</v>
      </c>
      <c r="D80" s="111">
        <v>150</v>
      </c>
      <c r="E80" s="69">
        <v>2.25</v>
      </c>
      <c r="F80" s="69">
        <v>0.75</v>
      </c>
      <c r="G80" s="69">
        <v>19.8</v>
      </c>
      <c r="H80" s="69">
        <v>109.65</v>
      </c>
      <c r="I80" s="69">
        <v>0.06</v>
      </c>
      <c r="J80" s="69">
        <v>15</v>
      </c>
      <c r="K80" s="69">
        <v>0</v>
      </c>
      <c r="L80" s="69">
        <v>0.6</v>
      </c>
      <c r="M80" s="69">
        <v>12</v>
      </c>
      <c r="N80" s="69">
        <v>42</v>
      </c>
      <c r="O80" s="69">
        <v>63</v>
      </c>
      <c r="P80" s="69">
        <v>0.9</v>
      </c>
    </row>
    <row r="81" spans="1:16" ht="21.75" customHeight="1" x14ac:dyDescent="0.25">
      <c r="A81" s="27">
        <v>3</v>
      </c>
      <c r="B81" s="120"/>
      <c r="C81" s="114" t="s">
        <v>18</v>
      </c>
      <c r="D81" s="121"/>
      <c r="E81" s="114">
        <f>SUM(E76:E80)</f>
        <v>20.232500000000002</v>
      </c>
      <c r="F81" s="114">
        <f t="shared" ref="F81:P81" si="13">SUM(F76:F80)</f>
        <v>22.407499999999999</v>
      </c>
      <c r="G81" s="114">
        <f t="shared" si="13"/>
        <v>107.26199999999999</v>
      </c>
      <c r="H81" s="114">
        <f t="shared" si="13"/>
        <v>733.07249999999999</v>
      </c>
      <c r="I81" s="114">
        <f t="shared" si="13"/>
        <v>0.38450000000000001</v>
      </c>
      <c r="J81" s="114">
        <f t="shared" si="13"/>
        <v>17.154</v>
      </c>
      <c r="K81" s="114">
        <f t="shared" si="13"/>
        <v>3.6607499999999997</v>
      </c>
      <c r="L81" s="114">
        <f t="shared" si="13"/>
        <v>35.552500000000002</v>
      </c>
      <c r="M81" s="114">
        <f t="shared" si="13"/>
        <v>266.529</v>
      </c>
      <c r="N81" s="114">
        <f t="shared" si="13"/>
        <v>386.90100000000001</v>
      </c>
      <c r="O81" s="114">
        <f t="shared" si="13"/>
        <v>134.68900000000002</v>
      </c>
      <c r="P81" s="114">
        <f t="shared" si="13"/>
        <v>3.4709999999999996</v>
      </c>
    </row>
    <row r="82" spans="1:16" ht="22.5" customHeight="1" x14ac:dyDescent="0.25">
      <c r="A82" s="27">
        <v>3</v>
      </c>
      <c r="B82" s="132" t="s">
        <v>19</v>
      </c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</row>
    <row r="83" spans="1:16" ht="24.75" customHeight="1" x14ac:dyDescent="0.25">
      <c r="A83" s="27">
        <v>3</v>
      </c>
      <c r="B83" s="61" t="s">
        <v>292</v>
      </c>
      <c r="C83" s="71" t="s">
        <v>293</v>
      </c>
      <c r="D83" s="123">
        <v>100</v>
      </c>
      <c r="E83" s="30">
        <v>2.29</v>
      </c>
      <c r="F83" s="30">
        <v>1.22</v>
      </c>
      <c r="G83" s="30">
        <v>14.34</v>
      </c>
      <c r="H83" s="30">
        <v>67</v>
      </c>
      <c r="I83" s="30">
        <v>0</v>
      </c>
      <c r="J83" s="30">
        <v>1.8</v>
      </c>
      <c r="K83" s="30">
        <v>0</v>
      </c>
      <c r="L83" s="30">
        <v>0.1</v>
      </c>
      <c r="M83" s="30">
        <v>3</v>
      </c>
      <c r="N83" s="30">
        <v>46</v>
      </c>
      <c r="O83" s="30">
        <v>13</v>
      </c>
      <c r="P83" s="30">
        <v>0.3</v>
      </c>
    </row>
    <row r="84" spans="1:16" ht="39.75" customHeight="1" x14ac:dyDescent="0.25">
      <c r="B84" s="122" t="s">
        <v>202</v>
      </c>
      <c r="C84" s="71" t="s">
        <v>132</v>
      </c>
      <c r="D84" s="123" t="s">
        <v>313</v>
      </c>
      <c r="E84" s="30">
        <v>2.4750000000000001</v>
      </c>
      <c r="F84" s="30">
        <v>3.0249999999999999</v>
      </c>
      <c r="G84" s="30">
        <v>17.05</v>
      </c>
      <c r="H84" s="30">
        <v>105.325</v>
      </c>
      <c r="I84" s="30">
        <v>0</v>
      </c>
      <c r="J84" s="30">
        <v>0</v>
      </c>
      <c r="K84" s="30">
        <v>12.1</v>
      </c>
      <c r="L84" s="30">
        <v>1.375</v>
      </c>
      <c r="M84" s="30">
        <v>32.725000000000001</v>
      </c>
      <c r="N84" s="30">
        <v>32.725000000000001</v>
      </c>
      <c r="O84" s="30">
        <v>79.474999999999994</v>
      </c>
      <c r="P84" s="30">
        <v>1.375</v>
      </c>
    </row>
    <row r="85" spans="1:16" ht="39" hidden="1" customHeight="1" x14ac:dyDescent="0.25">
      <c r="B85" s="61"/>
      <c r="C85" s="71" t="s">
        <v>172</v>
      </c>
      <c r="D85" s="111"/>
      <c r="E85" s="30">
        <v>0.72</v>
      </c>
      <c r="F85" s="30">
        <v>2.7</v>
      </c>
      <c r="G85" s="30">
        <v>2.4900000000000002</v>
      </c>
      <c r="H85" s="30">
        <v>37.53</v>
      </c>
      <c r="I85" s="30">
        <v>0</v>
      </c>
      <c r="J85" s="30">
        <v>30.36</v>
      </c>
      <c r="K85" s="30">
        <v>0</v>
      </c>
      <c r="L85" s="30">
        <v>1.4700000000000002</v>
      </c>
      <c r="M85" s="30">
        <v>17.46</v>
      </c>
      <c r="N85" s="30">
        <v>22.92</v>
      </c>
      <c r="O85" s="30">
        <v>7.98</v>
      </c>
      <c r="P85" s="30">
        <v>0.36</v>
      </c>
    </row>
    <row r="86" spans="1:16" ht="39" hidden="1" customHeight="1" x14ac:dyDescent="0.25">
      <c r="B86" s="61" t="s">
        <v>197</v>
      </c>
      <c r="C86" s="71" t="s">
        <v>125</v>
      </c>
      <c r="D86" s="111">
        <v>200</v>
      </c>
      <c r="E86" s="30">
        <v>10.199999999999999</v>
      </c>
      <c r="F86" s="30">
        <v>11.2</v>
      </c>
      <c r="G86" s="30">
        <v>30</v>
      </c>
      <c r="H86" s="30">
        <v>261.60000000000002</v>
      </c>
      <c r="I86" s="30">
        <v>0</v>
      </c>
      <c r="J86" s="30">
        <v>0.2</v>
      </c>
      <c r="K86" s="30">
        <v>12.8</v>
      </c>
      <c r="L86" s="30">
        <v>0.6</v>
      </c>
      <c r="M86" s="30">
        <v>40.799999999999997</v>
      </c>
      <c r="N86" s="30">
        <v>167</v>
      </c>
      <c r="O86" s="30">
        <v>46</v>
      </c>
      <c r="P86" s="30">
        <v>3.2</v>
      </c>
    </row>
    <row r="87" spans="1:16" ht="20.45" customHeight="1" x14ac:dyDescent="0.25">
      <c r="B87" s="61" t="s">
        <v>294</v>
      </c>
      <c r="C87" s="71" t="s">
        <v>295</v>
      </c>
      <c r="D87" s="111">
        <v>100</v>
      </c>
      <c r="E87" s="30">
        <v>14.1</v>
      </c>
      <c r="F87" s="30">
        <v>19.3</v>
      </c>
      <c r="G87" s="30">
        <v>9.6999999999999993</v>
      </c>
      <c r="H87" s="30">
        <v>277</v>
      </c>
      <c r="I87" s="30">
        <v>0</v>
      </c>
      <c r="J87" s="30">
        <v>0.1</v>
      </c>
      <c r="K87" s="30">
        <v>0</v>
      </c>
      <c r="L87" s="30">
        <v>3.4</v>
      </c>
      <c r="M87" s="30">
        <v>18.399999999999999</v>
      </c>
      <c r="N87" s="30">
        <v>15.1</v>
      </c>
      <c r="O87" s="30">
        <v>127.6</v>
      </c>
      <c r="P87" s="30">
        <v>1.4</v>
      </c>
    </row>
    <row r="88" spans="1:16" s="68" customFormat="1" ht="20.45" customHeight="1" x14ac:dyDescent="0.25">
      <c r="B88" s="122" t="s">
        <v>166</v>
      </c>
      <c r="C88" s="71" t="s">
        <v>53</v>
      </c>
      <c r="D88" s="123">
        <v>180</v>
      </c>
      <c r="E88" s="30">
        <v>5.3460000000000001</v>
      </c>
      <c r="F88" s="30">
        <v>4.8600000000000003</v>
      </c>
      <c r="G88" s="30">
        <v>18.18</v>
      </c>
      <c r="H88" s="30">
        <v>137.84399999999999</v>
      </c>
      <c r="I88" s="30">
        <v>0.28800000000000003</v>
      </c>
      <c r="J88" s="30">
        <v>0</v>
      </c>
      <c r="K88" s="30">
        <v>1.8000000000000002E-2</v>
      </c>
      <c r="L88" s="30">
        <v>0.72</v>
      </c>
      <c r="M88" s="30">
        <v>18.468</v>
      </c>
      <c r="N88" s="30">
        <v>243.99000000000004</v>
      </c>
      <c r="O88" s="30">
        <v>162.57599999999999</v>
      </c>
      <c r="P88" s="30">
        <v>5.58</v>
      </c>
    </row>
    <row r="89" spans="1:16" ht="18" customHeight="1" x14ac:dyDescent="0.25">
      <c r="B89" s="61" t="s">
        <v>181</v>
      </c>
      <c r="C89" s="71" t="s">
        <v>57</v>
      </c>
      <c r="D89" s="113">
        <v>200</v>
      </c>
      <c r="E89" s="30">
        <v>0.28000000000000003</v>
      </c>
      <c r="F89" s="30">
        <v>0.1</v>
      </c>
      <c r="G89" s="30">
        <v>32.880000000000003</v>
      </c>
      <c r="H89" s="30">
        <v>133.54000000000002</v>
      </c>
      <c r="I89" s="30">
        <v>0</v>
      </c>
      <c r="J89" s="30">
        <v>0</v>
      </c>
      <c r="K89" s="30">
        <v>19.3</v>
      </c>
      <c r="L89" s="30">
        <v>0.16</v>
      </c>
      <c r="M89" s="30">
        <v>13.78</v>
      </c>
      <c r="N89" s="30">
        <v>5.78</v>
      </c>
      <c r="O89" s="30">
        <v>7.38</v>
      </c>
      <c r="P89" s="30">
        <v>0.48</v>
      </c>
    </row>
    <row r="90" spans="1:16" s="68" customFormat="1" ht="19.5" customHeight="1" x14ac:dyDescent="0.25">
      <c r="B90" s="122" t="s">
        <v>182</v>
      </c>
      <c r="C90" s="71" t="s">
        <v>20</v>
      </c>
      <c r="D90" s="123">
        <v>40</v>
      </c>
      <c r="E90" s="30">
        <v>3.0666666666666664</v>
      </c>
      <c r="F90" s="30">
        <v>0.26666666666666672</v>
      </c>
      <c r="G90" s="30">
        <v>19.733333333333334</v>
      </c>
      <c r="H90" s="30">
        <v>94</v>
      </c>
      <c r="I90" s="30">
        <v>0</v>
      </c>
      <c r="J90" s="30">
        <v>0</v>
      </c>
      <c r="K90" s="30">
        <v>0</v>
      </c>
      <c r="L90" s="30">
        <v>0.4</v>
      </c>
      <c r="M90" s="30">
        <v>8</v>
      </c>
      <c r="N90" s="30">
        <v>26</v>
      </c>
      <c r="O90" s="30">
        <v>5.6000000000000014</v>
      </c>
      <c r="P90" s="30">
        <v>0.4</v>
      </c>
    </row>
    <row r="91" spans="1:16" s="68" customFormat="1" ht="22.5" customHeight="1" x14ac:dyDescent="0.25">
      <c r="B91" s="122" t="s">
        <v>191</v>
      </c>
      <c r="C91" s="71" t="s">
        <v>21</v>
      </c>
      <c r="D91" s="123">
        <v>50</v>
      </c>
      <c r="E91" s="30">
        <v>3.25</v>
      </c>
      <c r="F91" s="30">
        <v>0.625</v>
      </c>
      <c r="G91" s="30">
        <v>19.75</v>
      </c>
      <c r="H91" s="30">
        <v>99</v>
      </c>
      <c r="I91" s="30">
        <v>0.125</v>
      </c>
      <c r="J91" s="30">
        <v>0</v>
      </c>
      <c r="K91" s="30">
        <v>0</v>
      </c>
      <c r="L91" s="30">
        <v>0.75</v>
      </c>
      <c r="M91" s="30">
        <v>14.499999999999998</v>
      </c>
      <c r="N91" s="30">
        <v>75</v>
      </c>
      <c r="O91" s="30">
        <v>23.5</v>
      </c>
      <c r="P91" s="30">
        <v>2</v>
      </c>
    </row>
    <row r="92" spans="1:16" ht="18" customHeight="1" x14ac:dyDescent="0.25">
      <c r="A92" s="27">
        <v>3</v>
      </c>
      <c r="B92" s="114"/>
      <c r="C92" s="114" t="s">
        <v>18</v>
      </c>
      <c r="D92" s="115"/>
      <c r="E92" s="114">
        <f>SUM(E83:E91)</f>
        <v>41.727666666666664</v>
      </c>
      <c r="F92" s="114">
        <f t="shared" ref="F92:O92" si="14">SUM(F83:F91)</f>
        <v>43.296666666666667</v>
      </c>
      <c r="G92" s="114">
        <f t="shared" si="14"/>
        <v>164.12333333333333</v>
      </c>
      <c r="H92" s="114">
        <f t="shared" si="14"/>
        <v>1212.8389999999999</v>
      </c>
      <c r="I92" s="114">
        <f t="shared" si="14"/>
        <v>0.41300000000000003</v>
      </c>
      <c r="J92" s="114">
        <f t="shared" si="14"/>
        <v>32.46</v>
      </c>
      <c r="K92" s="114">
        <f t="shared" si="14"/>
        <v>44.218000000000004</v>
      </c>
      <c r="L92" s="114">
        <f t="shared" si="14"/>
        <v>8.9749999999999996</v>
      </c>
      <c r="M92" s="114">
        <f t="shared" si="14"/>
        <v>167.13299999999998</v>
      </c>
      <c r="N92" s="114">
        <f t="shared" si="14"/>
        <v>634.51499999999999</v>
      </c>
      <c r="O92" s="114">
        <f t="shared" si="14"/>
        <v>473.11099999999999</v>
      </c>
      <c r="P92" s="114">
        <f t="shared" ref="P92" si="15">SUM(P83:P91)</f>
        <v>15.095000000000001</v>
      </c>
    </row>
    <row r="93" spans="1:16" ht="21.75" customHeight="1" x14ac:dyDescent="0.25">
      <c r="A93" s="27">
        <v>3</v>
      </c>
      <c r="B93" s="132" t="s">
        <v>22</v>
      </c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</row>
    <row r="94" spans="1:16" ht="23.25" customHeight="1" x14ac:dyDescent="0.25">
      <c r="A94" s="27">
        <v>3</v>
      </c>
      <c r="B94" s="122" t="s">
        <v>237</v>
      </c>
      <c r="C94" s="71" t="s">
        <v>238</v>
      </c>
      <c r="D94" s="123" t="s">
        <v>310</v>
      </c>
      <c r="E94" s="34">
        <v>6.1319999999999997</v>
      </c>
      <c r="F94" s="34">
        <v>15.834000000000001</v>
      </c>
      <c r="G94" s="34">
        <v>38.135999999999996</v>
      </c>
      <c r="H94" s="34">
        <v>348.6</v>
      </c>
      <c r="I94" s="34">
        <v>0.252</v>
      </c>
      <c r="J94" s="34">
        <v>7.875</v>
      </c>
      <c r="K94" s="34">
        <v>44.1</v>
      </c>
      <c r="L94" s="34">
        <v>5.1029999999999998</v>
      </c>
      <c r="M94" s="34">
        <v>48.258000000000003</v>
      </c>
      <c r="N94" s="34">
        <v>169.34400000000002</v>
      </c>
      <c r="O94" s="34">
        <v>56.091000000000001</v>
      </c>
      <c r="P94" s="34">
        <v>1.7010000000000003</v>
      </c>
    </row>
    <row r="95" spans="1:16" ht="18.600000000000001" customHeight="1" x14ac:dyDescent="0.25">
      <c r="A95" s="27">
        <v>3</v>
      </c>
      <c r="B95" s="61" t="s">
        <v>164</v>
      </c>
      <c r="C95" s="37" t="s">
        <v>26</v>
      </c>
      <c r="D95" s="67" t="s">
        <v>127</v>
      </c>
      <c r="E95" s="30">
        <v>0.08</v>
      </c>
      <c r="F95" s="30">
        <v>0.02</v>
      </c>
      <c r="G95" s="30">
        <v>15</v>
      </c>
      <c r="H95" s="30">
        <v>60.5</v>
      </c>
      <c r="I95" s="30">
        <v>0</v>
      </c>
      <c r="J95" s="30">
        <v>0</v>
      </c>
      <c r="K95" s="30">
        <v>0.04</v>
      </c>
      <c r="L95" s="30">
        <v>0</v>
      </c>
      <c r="M95" s="30">
        <v>11.1</v>
      </c>
      <c r="N95" s="30">
        <v>1.4</v>
      </c>
      <c r="O95" s="30">
        <v>2.8</v>
      </c>
      <c r="P95" s="30">
        <v>0.28000000000000003</v>
      </c>
    </row>
    <row r="96" spans="1:16" ht="18.75" customHeight="1" x14ac:dyDescent="0.25">
      <c r="A96" s="27">
        <v>3</v>
      </c>
      <c r="B96" s="114"/>
      <c r="C96" s="114" t="s">
        <v>18</v>
      </c>
      <c r="D96" s="115"/>
      <c r="E96" s="114">
        <f>SUM(E94:E95)</f>
        <v>6.2119999999999997</v>
      </c>
      <c r="F96" s="114">
        <f t="shared" ref="F96:P96" si="16">SUM(F94:F95)</f>
        <v>15.854000000000001</v>
      </c>
      <c r="G96" s="114">
        <f t="shared" si="16"/>
        <v>53.135999999999996</v>
      </c>
      <c r="H96" s="114">
        <f t="shared" si="16"/>
        <v>409.1</v>
      </c>
      <c r="I96" s="114">
        <f t="shared" si="16"/>
        <v>0.252</v>
      </c>
      <c r="J96" s="114">
        <f t="shared" si="16"/>
        <v>7.875</v>
      </c>
      <c r="K96" s="114">
        <f t="shared" si="16"/>
        <v>44.14</v>
      </c>
      <c r="L96" s="114">
        <f t="shared" si="16"/>
        <v>5.1029999999999998</v>
      </c>
      <c r="M96" s="114">
        <f t="shared" si="16"/>
        <v>59.358000000000004</v>
      </c>
      <c r="N96" s="114">
        <f t="shared" si="16"/>
        <v>170.74400000000003</v>
      </c>
      <c r="O96" s="114">
        <f t="shared" si="16"/>
        <v>58.890999999999998</v>
      </c>
      <c r="P96" s="114">
        <f t="shared" si="16"/>
        <v>1.9810000000000003</v>
      </c>
    </row>
    <row r="97" spans="1:16" ht="20.25" customHeight="1" x14ac:dyDescent="0.25">
      <c r="A97" s="27">
        <v>3</v>
      </c>
      <c r="B97" s="66"/>
      <c r="C97" s="66" t="s">
        <v>27</v>
      </c>
      <c r="D97" s="67"/>
      <c r="E97" s="66">
        <f>SUM(E81+E92+E96)</f>
        <v>68.172166666666669</v>
      </c>
      <c r="F97" s="118">
        <f t="shared" ref="F97:P97" si="17">SUM(F81+F92+F96)</f>
        <v>81.558166666666665</v>
      </c>
      <c r="G97" s="118">
        <f t="shared" si="17"/>
        <v>324.52133333333336</v>
      </c>
      <c r="H97" s="118">
        <f t="shared" si="17"/>
        <v>2355.0115000000001</v>
      </c>
      <c r="I97" s="118">
        <f t="shared" si="17"/>
        <v>1.0495000000000001</v>
      </c>
      <c r="J97" s="118">
        <f t="shared" si="17"/>
        <v>57.489000000000004</v>
      </c>
      <c r="K97" s="118">
        <f t="shared" si="17"/>
        <v>92.018750000000011</v>
      </c>
      <c r="L97" s="118">
        <f t="shared" si="17"/>
        <v>49.630500000000005</v>
      </c>
      <c r="M97" s="118">
        <f t="shared" si="17"/>
        <v>493.02</v>
      </c>
      <c r="N97" s="118">
        <f t="shared" si="17"/>
        <v>1192.1599999999999</v>
      </c>
      <c r="O97" s="118">
        <f t="shared" si="17"/>
        <v>666.69099999999992</v>
      </c>
      <c r="P97" s="118">
        <f t="shared" si="17"/>
        <v>20.547000000000001</v>
      </c>
    </row>
    <row r="98" spans="1:16" s="36" customFormat="1" ht="20.100000000000001" customHeight="1" x14ac:dyDescent="0.3">
      <c r="B98" s="41"/>
      <c r="C98" s="41"/>
      <c r="D98" s="46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 s="36" customFormat="1" ht="20.100000000000001" customHeight="1" x14ac:dyDescent="0.3">
      <c r="B99" s="39" t="s">
        <v>117</v>
      </c>
      <c r="C99" s="38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s="36" customFormat="1" ht="20.100000000000001" customHeight="1" x14ac:dyDescent="0.3">
      <c r="B100" s="39" t="s">
        <v>113</v>
      </c>
      <c r="C100" s="38"/>
      <c r="D100" s="46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s="36" customFormat="1" ht="20.100000000000001" customHeight="1" x14ac:dyDescent="0.3">
      <c r="B101" s="39" t="s">
        <v>306</v>
      </c>
      <c r="C101" s="38"/>
      <c r="D101" s="46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1:16" s="36" customFormat="1" ht="20.100000000000001" customHeight="1" x14ac:dyDescent="0.3">
      <c r="B102" s="41"/>
      <c r="C102" s="41"/>
      <c r="D102" s="46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</row>
    <row r="103" spans="1:16" s="36" customFormat="1" ht="39.75" customHeight="1" x14ac:dyDescent="0.3">
      <c r="B103" s="134" t="s">
        <v>0</v>
      </c>
      <c r="C103" s="134" t="s">
        <v>1</v>
      </c>
      <c r="D103" s="135" t="s">
        <v>2</v>
      </c>
      <c r="E103" s="132" t="s">
        <v>3</v>
      </c>
      <c r="F103" s="132"/>
      <c r="G103" s="132"/>
      <c r="H103" s="132" t="s">
        <v>4</v>
      </c>
      <c r="I103" s="132" t="s">
        <v>5</v>
      </c>
      <c r="J103" s="132"/>
      <c r="K103" s="132"/>
      <c r="L103" s="132"/>
      <c r="M103" s="132" t="s">
        <v>6</v>
      </c>
      <c r="N103" s="132"/>
      <c r="O103" s="132"/>
      <c r="P103" s="132"/>
    </row>
    <row r="104" spans="1:16" s="36" customFormat="1" ht="33" customHeight="1" x14ac:dyDescent="0.3">
      <c r="B104" s="134"/>
      <c r="C104" s="134"/>
      <c r="D104" s="135"/>
      <c r="E104" s="66" t="s">
        <v>7</v>
      </c>
      <c r="F104" s="66" t="s">
        <v>8</v>
      </c>
      <c r="G104" s="66" t="s">
        <v>9</v>
      </c>
      <c r="H104" s="132"/>
      <c r="I104" s="66" t="s">
        <v>114</v>
      </c>
      <c r="J104" s="66" t="s">
        <v>10</v>
      </c>
      <c r="K104" s="66" t="s">
        <v>11</v>
      </c>
      <c r="L104" s="66" t="s">
        <v>12</v>
      </c>
      <c r="M104" s="66" t="s">
        <v>13</v>
      </c>
      <c r="N104" s="66" t="s">
        <v>14</v>
      </c>
      <c r="O104" s="66" t="s">
        <v>15</v>
      </c>
      <c r="P104" s="66" t="s">
        <v>16</v>
      </c>
    </row>
    <row r="105" spans="1:16" ht="15" customHeight="1" x14ac:dyDescent="0.25">
      <c r="A105" s="27">
        <v>4</v>
      </c>
      <c r="B105" s="132" t="s">
        <v>17</v>
      </c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</row>
    <row r="106" spans="1:16" ht="39" customHeight="1" x14ac:dyDescent="0.25">
      <c r="A106" s="27">
        <v>4</v>
      </c>
      <c r="B106" s="122" t="s">
        <v>194</v>
      </c>
      <c r="C106" s="71" t="s">
        <v>208</v>
      </c>
      <c r="D106" s="123" t="s">
        <v>310</v>
      </c>
      <c r="E106" s="30">
        <v>12.474</v>
      </c>
      <c r="F106" s="30">
        <v>7.35</v>
      </c>
      <c r="G106" s="30">
        <v>44.94</v>
      </c>
      <c r="H106" s="30">
        <v>321.51</v>
      </c>
      <c r="I106" s="30">
        <v>0.14700000000000002</v>
      </c>
      <c r="J106" s="30">
        <v>2.4359999999999999</v>
      </c>
      <c r="K106" s="30">
        <v>8.4000000000000005E-2</v>
      </c>
      <c r="L106" s="30">
        <v>2.7510000000000003</v>
      </c>
      <c r="M106" s="30">
        <v>100.8</v>
      </c>
      <c r="N106" s="30">
        <v>128.72999999999999</v>
      </c>
      <c r="O106" s="30">
        <v>30.45</v>
      </c>
      <c r="P106" s="30">
        <v>36.854999999999997</v>
      </c>
    </row>
    <row r="107" spans="1:16" ht="20.45" customHeight="1" x14ac:dyDescent="0.25">
      <c r="B107" s="122" t="s">
        <v>209</v>
      </c>
      <c r="C107" s="71" t="s">
        <v>210</v>
      </c>
      <c r="D107" s="123">
        <v>200</v>
      </c>
      <c r="E107" s="30">
        <v>16.754999999999999</v>
      </c>
      <c r="F107" s="30">
        <v>15.75</v>
      </c>
      <c r="G107" s="30">
        <v>3.0149999999999992</v>
      </c>
      <c r="H107" s="30">
        <v>333.28500000000003</v>
      </c>
      <c r="I107" s="30">
        <v>1.0200000000000002</v>
      </c>
      <c r="J107" s="30">
        <v>7.4999999999999997E-2</v>
      </c>
      <c r="K107" s="30">
        <v>5.04</v>
      </c>
      <c r="L107" s="30">
        <v>9.3149999999999995</v>
      </c>
      <c r="M107" s="30">
        <v>101.91</v>
      </c>
      <c r="N107" s="30">
        <v>20.100000000000001</v>
      </c>
      <c r="O107" s="30">
        <v>173.05500000000001</v>
      </c>
      <c r="P107" s="30">
        <v>2.2949999999999999</v>
      </c>
    </row>
    <row r="108" spans="1:16" s="68" customFormat="1" ht="19.899999999999999" customHeight="1" x14ac:dyDescent="0.25">
      <c r="B108" s="61"/>
      <c r="C108" s="71" t="s">
        <v>172</v>
      </c>
      <c r="D108" s="111"/>
      <c r="E108" s="69">
        <f>SUM(E106:E107)/2</f>
        <v>14.6145</v>
      </c>
      <c r="F108" s="69">
        <f t="shared" ref="F108:P108" si="18">SUM(F106:F107)/2</f>
        <v>11.55</v>
      </c>
      <c r="G108" s="69">
        <f t="shared" si="18"/>
        <v>23.977499999999999</v>
      </c>
      <c r="H108" s="69">
        <f t="shared" si="18"/>
        <v>327.39750000000004</v>
      </c>
      <c r="I108" s="69">
        <f t="shared" si="18"/>
        <v>0.58350000000000013</v>
      </c>
      <c r="J108" s="69">
        <f t="shared" si="18"/>
        <v>1.2555000000000001</v>
      </c>
      <c r="K108" s="69">
        <f t="shared" si="18"/>
        <v>2.5619999999999998</v>
      </c>
      <c r="L108" s="69">
        <f t="shared" si="18"/>
        <v>6.0329999999999995</v>
      </c>
      <c r="M108" s="69">
        <f t="shared" si="18"/>
        <v>101.35499999999999</v>
      </c>
      <c r="N108" s="69">
        <f t="shared" si="18"/>
        <v>74.414999999999992</v>
      </c>
      <c r="O108" s="69">
        <f t="shared" si="18"/>
        <v>101.7525</v>
      </c>
      <c r="P108" s="69">
        <f t="shared" si="18"/>
        <v>19.574999999999999</v>
      </c>
    </row>
    <row r="109" spans="1:16" s="68" customFormat="1" ht="21.6" customHeight="1" x14ac:dyDescent="0.25">
      <c r="B109" s="61"/>
      <c r="C109" s="71" t="s">
        <v>274</v>
      </c>
      <c r="D109" s="111">
        <v>60</v>
      </c>
      <c r="E109" s="69">
        <v>3.3</v>
      </c>
      <c r="F109" s="69">
        <v>3.9</v>
      </c>
      <c r="G109" s="69">
        <v>20.94</v>
      </c>
      <c r="H109" s="69">
        <v>132.06</v>
      </c>
      <c r="I109" s="69">
        <v>2.4E-2</v>
      </c>
      <c r="J109" s="69">
        <v>5.3999999999999992E-2</v>
      </c>
      <c r="K109" s="69">
        <v>0.06</v>
      </c>
      <c r="L109" s="69">
        <v>2.52</v>
      </c>
      <c r="M109" s="69">
        <v>18.420000000000002</v>
      </c>
      <c r="N109" s="69">
        <v>34.26</v>
      </c>
      <c r="O109" s="69">
        <v>3.84</v>
      </c>
      <c r="P109" s="69">
        <v>0.42</v>
      </c>
    </row>
    <row r="110" spans="1:16" ht="17.45" customHeight="1" x14ac:dyDescent="0.25">
      <c r="A110" s="27">
        <v>4</v>
      </c>
      <c r="B110" s="61"/>
      <c r="C110" s="71" t="s">
        <v>174</v>
      </c>
      <c r="D110" s="111">
        <v>150</v>
      </c>
      <c r="E110" s="69">
        <v>1.3999999999999997</v>
      </c>
      <c r="F110" s="69">
        <v>0.20000000000000004</v>
      </c>
      <c r="G110" s="69">
        <v>14.3</v>
      </c>
      <c r="H110" s="69">
        <v>70.5</v>
      </c>
      <c r="I110" s="69">
        <v>5.9999999999999991E-2</v>
      </c>
      <c r="J110" s="69">
        <v>15</v>
      </c>
      <c r="K110" s="69">
        <v>0</v>
      </c>
      <c r="L110" s="69">
        <v>1.7</v>
      </c>
      <c r="M110" s="69">
        <v>30</v>
      </c>
      <c r="N110" s="69">
        <v>51</v>
      </c>
      <c r="O110" s="69">
        <v>24</v>
      </c>
      <c r="P110" s="69">
        <v>0.9</v>
      </c>
    </row>
    <row r="111" spans="1:16" s="68" customFormat="1" ht="19.899999999999999" customHeight="1" x14ac:dyDescent="0.25">
      <c r="B111" s="61"/>
      <c r="C111" s="71" t="s">
        <v>247</v>
      </c>
      <c r="D111" s="111">
        <v>200</v>
      </c>
      <c r="E111" s="69">
        <v>11.6</v>
      </c>
      <c r="F111" s="69">
        <v>12.8</v>
      </c>
      <c r="G111" s="69">
        <v>18.8</v>
      </c>
      <c r="H111" s="69">
        <v>243.6</v>
      </c>
      <c r="I111" s="69">
        <v>0.2</v>
      </c>
      <c r="J111" s="69">
        <v>5.2</v>
      </c>
      <c r="K111" s="69">
        <v>0</v>
      </c>
      <c r="L111" s="69">
        <v>0</v>
      </c>
      <c r="M111" s="69">
        <v>480</v>
      </c>
      <c r="N111" s="69">
        <v>360</v>
      </c>
      <c r="O111" s="69">
        <v>56</v>
      </c>
      <c r="P111" s="69">
        <v>0.4</v>
      </c>
    </row>
    <row r="112" spans="1:16" s="68" customFormat="1" ht="18.600000000000001" customHeight="1" x14ac:dyDescent="0.25">
      <c r="B112" s="61" t="s">
        <v>157</v>
      </c>
      <c r="C112" s="71" t="s">
        <v>158</v>
      </c>
      <c r="D112" s="111" t="s">
        <v>126</v>
      </c>
      <c r="E112" s="69">
        <v>0.14000000000000001</v>
      </c>
      <c r="F112" s="69">
        <v>0.02</v>
      </c>
      <c r="G112" s="69">
        <v>15.2</v>
      </c>
      <c r="H112" s="69">
        <v>61.54</v>
      </c>
      <c r="I112" s="69">
        <v>0</v>
      </c>
      <c r="J112" s="69">
        <v>2.84</v>
      </c>
      <c r="K112" s="69">
        <v>0</v>
      </c>
      <c r="L112" s="69">
        <v>0.02</v>
      </c>
      <c r="M112" s="69">
        <v>14.2</v>
      </c>
      <c r="N112" s="69">
        <v>4.4000000000000004</v>
      </c>
      <c r="O112" s="69">
        <v>2.4</v>
      </c>
      <c r="P112" s="69">
        <v>0.36</v>
      </c>
    </row>
    <row r="113" spans="1:16" ht="18.600000000000001" customHeight="1" x14ac:dyDescent="0.25">
      <c r="A113" s="27">
        <v>4</v>
      </c>
      <c r="B113" s="114"/>
      <c r="C113" s="114" t="s">
        <v>18</v>
      </c>
      <c r="D113" s="115"/>
      <c r="E113" s="114">
        <f>SUM(E108+E109+E110+E111+E112)</f>
        <v>31.054499999999997</v>
      </c>
      <c r="F113" s="114">
        <f t="shared" ref="F113:P113" si="19">SUM(F108+F109+F110+F111+F112)</f>
        <v>28.470000000000002</v>
      </c>
      <c r="G113" s="114">
        <f t="shared" si="19"/>
        <v>93.217500000000001</v>
      </c>
      <c r="H113" s="114">
        <f t="shared" si="19"/>
        <v>835.09749999999997</v>
      </c>
      <c r="I113" s="114">
        <f t="shared" si="19"/>
        <v>0.86750000000000016</v>
      </c>
      <c r="J113" s="114">
        <f t="shared" si="19"/>
        <v>24.349499999999999</v>
      </c>
      <c r="K113" s="114">
        <f t="shared" si="19"/>
        <v>2.6219999999999999</v>
      </c>
      <c r="L113" s="114">
        <f t="shared" si="19"/>
        <v>10.272999999999998</v>
      </c>
      <c r="M113" s="114">
        <f t="shared" si="19"/>
        <v>643.97500000000002</v>
      </c>
      <c r="N113" s="114">
        <f t="shared" si="19"/>
        <v>524.07499999999993</v>
      </c>
      <c r="O113" s="114">
        <f t="shared" si="19"/>
        <v>187.99250000000001</v>
      </c>
      <c r="P113" s="114">
        <f t="shared" si="19"/>
        <v>21.654999999999998</v>
      </c>
    </row>
    <row r="114" spans="1:16" ht="19.5" customHeight="1" x14ac:dyDescent="0.25">
      <c r="A114" s="27">
        <v>4</v>
      </c>
      <c r="B114" s="132" t="s">
        <v>19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</row>
    <row r="115" spans="1:16" ht="42" customHeight="1" x14ac:dyDescent="0.25">
      <c r="A115" s="27">
        <v>4</v>
      </c>
      <c r="B115" s="122" t="s">
        <v>200</v>
      </c>
      <c r="C115" s="71" t="s">
        <v>314</v>
      </c>
      <c r="D115" s="123">
        <v>100</v>
      </c>
      <c r="E115" s="30">
        <v>1.41</v>
      </c>
      <c r="F115" s="30">
        <v>5.08</v>
      </c>
      <c r="G115" s="30">
        <v>9.02</v>
      </c>
      <c r="H115" s="30">
        <v>87.44</v>
      </c>
      <c r="I115" s="30">
        <v>0.03</v>
      </c>
      <c r="J115" s="30">
        <v>32.450000000000003</v>
      </c>
      <c r="K115" s="30">
        <v>0</v>
      </c>
      <c r="L115" s="30">
        <v>2.31</v>
      </c>
      <c r="M115" s="30">
        <v>37.369999999999997</v>
      </c>
      <c r="N115" s="30">
        <v>27.61</v>
      </c>
      <c r="O115" s="30">
        <v>15.16</v>
      </c>
      <c r="P115" s="30">
        <v>0.51</v>
      </c>
    </row>
    <row r="116" spans="1:16" ht="20.45" customHeight="1" x14ac:dyDescent="0.25">
      <c r="A116" s="27">
        <v>4</v>
      </c>
      <c r="B116" s="61" t="s">
        <v>197</v>
      </c>
      <c r="C116" s="71" t="s">
        <v>125</v>
      </c>
      <c r="D116" s="123">
        <v>250</v>
      </c>
      <c r="E116" s="30">
        <v>12.75</v>
      </c>
      <c r="F116" s="30">
        <v>14</v>
      </c>
      <c r="G116" s="30">
        <v>37.5</v>
      </c>
      <c r="H116" s="30">
        <v>327.00000000000006</v>
      </c>
      <c r="I116" s="30">
        <v>0</v>
      </c>
      <c r="J116" s="30">
        <v>0.25</v>
      </c>
      <c r="K116" s="30">
        <v>16</v>
      </c>
      <c r="L116" s="30">
        <v>0.75</v>
      </c>
      <c r="M116" s="30">
        <v>51</v>
      </c>
      <c r="N116" s="30">
        <v>208.75</v>
      </c>
      <c r="O116" s="30">
        <v>57.5</v>
      </c>
      <c r="P116" s="30">
        <v>4</v>
      </c>
    </row>
    <row r="117" spans="1:16" s="68" customFormat="1" ht="20.45" customHeight="1" x14ac:dyDescent="0.25">
      <c r="B117" s="43" t="s">
        <v>304</v>
      </c>
      <c r="C117" s="50" t="s">
        <v>303</v>
      </c>
      <c r="D117" s="49">
        <v>180</v>
      </c>
      <c r="E117" s="30">
        <v>6.6239999999999997</v>
      </c>
      <c r="F117" s="30">
        <v>5.4179999999999993</v>
      </c>
      <c r="G117" s="30">
        <v>28.134</v>
      </c>
      <c r="H117" s="30">
        <v>249.858</v>
      </c>
      <c r="I117" s="30">
        <v>7.2000000000000008E-2</v>
      </c>
      <c r="J117" s="30">
        <v>0</v>
      </c>
      <c r="K117" s="30">
        <v>0.18</v>
      </c>
      <c r="L117" s="30">
        <v>1.17</v>
      </c>
      <c r="M117" s="30">
        <v>5.8320000000000007</v>
      </c>
      <c r="N117" s="30">
        <v>44.604000000000006</v>
      </c>
      <c r="O117" s="30">
        <v>25.344000000000001</v>
      </c>
      <c r="P117" s="30">
        <v>1.3319999999999999</v>
      </c>
    </row>
    <row r="118" spans="1:16" s="68" customFormat="1" ht="20.45" customHeight="1" x14ac:dyDescent="0.25">
      <c r="B118" s="61" t="s">
        <v>325</v>
      </c>
      <c r="C118" s="71" t="s">
        <v>326</v>
      </c>
      <c r="D118" s="129" t="s">
        <v>327</v>
      </c>
      <c r="E118" s="128">
        <v>35</v>
      </c>
      <c r="F118" s="128">
        <v>7</v>
      </c>
      <c r="G118" s="128">
        <v>3.3</v>
      </c>
      <c r="H118" s="128">
        <v>224</v>
      </c>
      <c r="I118" s="128">
        <v>0.2</v>
      </c>
      <c r="J118" s="128">
        <v>13</v>
      </c>
      <c r="K118" s="128">
        <v>0</v>
      </c>
      <c r="L118" s="128">
        <v>2.7</v>
      </c>
      <c r="M118" s="128">
        <v>36</v>
      </c>
      <c r="N118" s="128">
        <v>305</v>
      </c>
      <c r="O118" s="128">
        <v>152.4</v>
      </c>
      <c r="P118" s="128">
        <v>2.7</v>
      </c>
    </row>
    <row r="119" spans="1:16" ht="19.149999999999999" customHeight="1" x14ac:dyDescent="0.25">
      <c r="A119" s="27">
        <v>4</v>
      </c>
      <c r="B119" s="126" t="s">
        <v>289</v>
      </c>
      <c r="C119" s="71" t="s">
        <v>290</v>
      </c>
      <c r="D119" s="127" t="s">
        <v>312</v>
      </c>
      <c r="E119" s="30">
        <v>19.875</v>
      </c>
      <c r="F119" s="30">
        <v>27.03</v>
      </c>
      <c r="G119" s="30">
        <v>33.39</v>
      </c>
      <c r="H119" s="30">
        <v>456.33</v>
      </c>
      <c r="I119" s="30">
        <v>0</v>
      </c>
      <c r="J119" s="30">
        <v>0.53</v>
      </c>
      <c r="K119" s="30">
        <v>8.48</v>
      </c>
      <c r="L119" s="30">
        <v>10.6</v>
      </c>
      <c r="M119" s="30">
        <v>76.849999999999994</v>
      </c>
      <c r="N119" s="30">
        <v>46.64</v>
      </c>
      <c r="O119" s="30">
        <v>343.44</v>
      </c>
      <c r="P119" s="30">
        <v>4.5049999999999999</v>
      </c>
    </row>
    <row r="120" spans="1:16" s="68" customFormat="1" ht="19.149999999999999" customHeight="1" x14ac:dyDescent="0.25">
      <c r="B120" s="126"/>
      <c r="C120" s="71" t="s">
        <v>172</v>
      </c>
      <c r="D120" s="127"/>
      <c r="E120" s="69">
        <f>SUM(E117:E119)/3</f>
        <v>20.499666666666666</v>
      </c>
      <c r="F120" s="69">
        <f t="shared" ref="F120:P120" si="20">SUM(F117:F119)/3</f>
        <v>13.149333333333333</v>
      </c>
      <c r="G120" s="69">
        <f t="shared" si="20"/>
        <v>21.608000000000001</v>
      </c>
      <c r="H120" s="69">
        <f t="shared" si="20"/>
        <v>310.06266666666664</v>
      </c>
      <c r="I120" s="69">
        <f t="shared" si="20"/>
        <v>9.0666666666666673E-2</v>
      </c>
      <c r="J120" s="69">
        <f t="shared" si="20"/>
        <v>4.51</v>
      </c>
      <c r="K120" s="69">
        <f t="shared" si="20"/>
        <v>2.8866666666666667</v>
      </c>
      <c r="L120" s="69">
        <f t="shared" si="20"/>
        <v>4.8233333333333333</v>
      </c>
      <c r="M120" s="69">
        <f t="shared" si="20"/>
        <v>39.560666666666663</v>
      </c>
      <c r="N120" s="69">
        <f t="shared" si="20"/>
        <v>132.08133333333333</v>
      </c>
      <c r="O120" s="69">
        <f t="shared" si="20"/>
        <v>173.72799999999998</v>
      </c>
      <c r="P120" s="69">
        <f t="shared" si="20"/>
        <v>2.8456666666666663</v>
      </c>
    </row>
    <row r="121" spans="1:16" ht="20.100000000000001" customHeight="1" x14ac:dyDescent="0.25">
      <c r="A121" s="27">
        <v>4</v>
      </c>
      <c r="B121" s="112" t="s">
        <v>173</v>
      </c>
      <c r="C121" s="71" t="s">
        <v>51</v>
      </c>
      <c r="D121" s="113">
        <v>200</v>
      </c>
      <c r="E121" s="30">
        <v>0.16</v>
      </c>
      <c r="F121" s="30">
        <v>0.16</v>
      </c>
      <c r="G121" s="30">
        <v>19.88</v>
      </c>
      <c r="H121" s="30">
        <v>81.599999999999994</v>
      </c>
      <c r="I121" s="30">
        <v>0.02</v>
      </c>
      <c r="J121" s="30">
        <v>0.9</v>
      </c>
      <c r="K121" s="30">
        <v>0</v>
      </c>
      <c r="L121" s="30">
        <v>0.08</v>
      </c>
      <c r="M121" s="30">
        <v>13.94</v>
      </c>
      <c r="N121" s="30">
        <v>4.4000000000000004</v>
      </c>
      <c r="O121" s="30">
        <v>5.14</v>
      </c>
      <c r="P121" s="30">
        <v>0.93600000000000005</v>
      </c>
    </row>
    <row r="122" spans="1:16" ht="18.75" customHeight="1" x14ac:dyDescent="0.25">
      <c r="A122" s="27">
        <v>4</v>
      </c>
      <c r="B122" s="122" t="s">
        <v>182</v>
      </c>
      <c r="C122" s="71" t="s">
        <v>20</v>
      </c>
      <c r="D122" s="123">
        <v>40</v>
      </c>
      <c r="E122" s="30">
        <v>3.0666666666666664</v>
      </c>
      <c r="F122" s="30">
        <v>0.26666666666666672</v>
      </c>
      <c r="G122" s="30">
        <v>19.733333333333334</v>
      </c>
      <c r="H122" s="30">
        <v>94</v>
      </c>
      <c r="I122" s="30">
        <v>0</v>
      </c>
      <c r="J122" s="30">
        <v>0</v>
      </c>
      <c r="K122" s="30">
        <v>0</v>
      </c>
      <c r="L122" s="30">
        <v>0.4</v>
      </c>
      <c r="M122" s="30">
        <v>8</v>
      </c>
      <c r="N122" s="30">
        <v>26</v>
      </c>
      <c r="O122" s="30">
        <v>5.6000000000000014</v>
      </c>
      <c r="P122" s="30">
        <v>0.4</v>
      </c>
    </row>
    <row r="123" spans="1:16" ht="19.5" customHeight="1" x14ac:dyDescent="0.25">
      <c r="A123" s="27">
        <v>4</v>
      </c>
      <c r="B123" s="122" t="s">
        <v>191</v>
      </c>
      <c r="C123" s="71" t="s">
        <v>21</v>
      </c>
      <c r="D123" s="123">
        <v>50</v>
      </c>
      <c r="E123" s="30">
        <v>3.25</v>
      </c>
      <c r="F123" s="30">
        <v>0.625</v>
      </c>
      <c r="G123" s="30">
        <v>19.75</v>
      </c>
      <c r="H123" s="30">
        <v>99</v>
      </c>
      <c r="I123" s="30">
        <v>0.125</v>
      </c>
      <c r="J123" s="30">
        <v>0</v>
      </c>
      <c r="K123" s="30">
        <v>0</v>
      </c>
      <c r="L123" s="30">
        <v>0.75</v>
      </c>
      <c r="M123" s="30">
        <v>14.499999999999998</v>
      </c>
      <c r="N123" s="30">
        <v>75</v>
      </c>
      <c r="O123" s="30">
        <v>23.5</v>
      </c>
      <c r="P123" s="30">
        <v>2</v>
      </c>
    </row>
    <row r="124" spans="1:16" ht="19.899999999999999" hidden="1" customHeight="1" x14ac:dyDescent="0.25">
      <c r="B124" s="66"/>
      <c r="C124" s="37">
        <v>0</v>
      </c>
      <c r="D124" s="67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</row>
    <row r="125" spans="1:16" ht="17.45" customHeight="1" x14ac:dyDescent="0.25">
      <c r="A125" s="27">
        <v>4</v>
      </c>
      <c r="B125" s="114"/>
      <c r="C125" s="114" t="s">
        <v>18</v>
      </c>
      <c r="D125" s="115"/>
      <c r="E125" s="114">
        <f>E115+E116+E120+E121+E122+E123</f>
        <v>41.136333333333326</v>
      </c>
      <c r="F125" s="114">
        <f t="shared" ref="F125:P125" si="21">F115+F116+F120+F121+F122+F123</f>
        <v>33.280999999999992</v>
      </c>
      <c r="G125" s="114">
        <f t="shared" si="21"/>
        <v>127.49133333333333</v>
      </c>
      <c r="H125" s="114">
        <f t="shared" si="21"/>
        <v>999.10266666666678</v>
      </c>
      <c r="I125" s="114">
        <f t="shared" si="21"/>
        <v>0.26566666666666666</v>
      </c>
      <c r="J125" s="114">
        <f t="shared" si="21"/>
        <v>38.11</v>
      </c>
      <c r="K125" s="114">
        <f t="shared" si="21"/>
        <v>18.886666666666667</v>
      </c>
      <c r="L125" s="114">
        <f t="shared" si="21"/>
        <v>9.1133333333333333</v>
      </c>
      <c r="M125" s="114">
        <f t="shared" si="21"/>
        <v>164.37066666666666</v>
      </c>
      <c r="N125" s="114">
        <f t="shared" si="21"/>
        <v>473.8413333333333</v>
      </c>
      <c r="O125" s="114">
        <f t="shared" si="21"/>
        <v>280.62799999999999</v>
      </c>
      <c r="P125" s="114">
        <f t="shared" si="21"/>
        <v>10.691666666666666</v>
      </c>
    </row>
    <row r="126" spans="1:16" ht="15" customHeight="1" x14ac:dyDescent="0.25">
      <c r="A126" s="27">
        <v>4</v>
      </c>
      <c r="B126" s="132" t="s">
        <v>22</v>
      </c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</row>
    <row r="127" spans="1:16" ht="23.25" customHeight="1" x14ac:dyDescent="0.25">
      <c r="A127" s="27">
        <v>4</v>
      </c>
      <c r="B127" s="61" t="s">
        <v>226</v>
      </c>
      <c r="C127" s="71" t="s">
        <v>225</v>
      </c>
      <c r="D127" s="123" t="s">
        <v>310</v>
      </c>
      <c r="E127" s="30">
        <v>14.741999999999997</v>
      </c>
      <c r="F127" s="30">
        <v>21.524999999999999</v>
      </c>
      <c r="G127" s="30">
        <v>64.028999999999996</v>
      </c>
      <c r="H127" s="30">
        <v>508.80900000000003</v>
      </c>
      <c r="I127" s="30">
        <v>0.29400000000000004</v>
      </c>
      <c r="J127" s="30">
        <v>0.77700000000000002</v>
      </c>
      <c r="K127" s="30">
        <v>4.2000000000000003E-2</v>
      </c>
      <c r="L127" s="30">
        <v>6.2579999999999991</v>
      </c>
      <c r="M127" s="30">
        <v>165.102</v>
      </c>
      <c r="N127" s="30">
        <v>230.34899999999999</v>
      </c>
      <c r="O127" s="30">
        <v>63.650999999999996</v>
      </c>
      <c r="P127" s="30">
        <v>2.7510000000000003</v>
      </c>
    </row>
    <row r="128" spans="1:16" ht="22.5" customHeight="1" x14ac:dyDescent="0.25">
      <c r="B128" s="63" t="s">
        <v>181</v>
      </c>
      <c r="C128" s="50" t="s">
        <v>57</v>
      </c>
      <c r="D128" s="49">
        <v>200</v>
      </c>
      <c r="E128" s="30">
        <v>0.28000000000000003</v>
      </c>
      <c r="F128" s="30">
        <v>0.1</v>
      </c>
      <c r="G128" s="30">
        <v>28.88</v>
      </c>
      <c r="H128" s="30">
        <v>117.54</v>
      </c>
      <c r="I128" s="30">
        <v>0</v>
      </c>
      <c r="J128" s="30">
        <v>19.3</v>
      </c>
      <c r="K128" s="30">
        <v>0</v>
      </c>
      <c r="L128" s="30">
        <v>0.16</v>
      </c>
      <c r="M128" s="30">
        <v>13.66</v>
      </c>
      <c r="N128" s="30">
        <v>7.38</v>
      </c>
      <c r="O128" s="30">
        <v>5.78</v>
      </c>
      <c r="P128" s="30">
        <v>0.46800000000000003</v>
      </c>
    </row>
    <row r="129" spans="1:16" ht="20.25" customHeight="1" x14ac:dyDescent="0.25">
      <c r="A129" s="27">
        <v>4</v>
      </c>
      <c r="B129" s="114"/>
      <c r="C129" s="114" t="s">
        <v>18</v>
      </c>
      <c r="D129" s="121"/>
      <c r="E129" s="114">
        <f>SUM(E127:E128)</f>
        <v>15.021999999999997</v>
      </c>
      <c r="F129" s="114">
        <f t="shared" ref="F129:P129" si="22">SUM(F127:F128)</f>
        <v>21.625</v>
      </c>
      <c r="G129" s="114">
        <f t="shared" si="22"/>
        <v>92.908999999999992</v>
      </c>
      <c r="H129" s="114">
        <f t="shared" si="22"/>
        <v>626.34900000000005</v>
      </c>
      <c r="I129" s="114">
        <f t="shared" si="22"/>
        <v>0.29400000000000004</v>
      </c>
      <c r="J129" s="114">
        <f t="shared" si="22"/>
        <v>20.077000000000002</v>
      </c>
      <c r="K129" s="114">
        <f t="shared" si="22"/>
        <v>4.2000000000000003E-2</v>
      </c>
      <c r="L129" s="114">
        <f t="shared" si="22"/>
        <v>6.4179999999999993</v>
      </c>
      <c r="M129" s="114">
        <f t="shared" si="22"/>
        <v>178.762</v>
      </c>
      <c r="N129" s="114">
        <f t="shared" si="22"/>
        <v>237.72899999999998</v>
      </c>
      <c r="O129" s="114">
        <f t="shared" si="22"/>
        <v>69.430999999999997</v>
      </c>
      <c r="P129" s="114">
        <f t="shared" si="22"/>
        <v>3.2190000000000003</v>
      </c>
    </row>
    <row r="130" spans="1:16" ht="20.100000000000001" customHeight="1" x14ac:dyDescent="0.25">
      <c r="A130" s="27">
        <v>4</v>
      </c>
      <c r="B130" s="66"/>
      <c r="C130" s="66" t="s">
        <v>28</v>
      </c>
      <c r="D130" s="47"/>
      <c r="E130" s="66">
        <f>SUM(E113+E125+E129)</f>
        <v>87.212833333333322</v>
      </c>
      <c r="F130" s="118">
        <f t="shared" ref="F130:P130" si="23">SUM(F113+F125+F129)</f>
        <v>83.375999999999991</v>
      </c>
      <c r="G130" s="118">
        <f t="shared" si="23"/>
        <v>313.61783333333335</v>
      </c>
      <c r="H130" s="118">
        <f t="shared" si="23"/>
        <v>2460.5491666666667</v>
      </c>
      <c r="I130" s="118">
        <f t="shared" si="23"/>
        <v>1.4271666666666669</v>
      </c>
      <c r="J130" s="118">
        <f t="shared" si="23"/>
        <v>82.536500000000004</v>
      </c>
      <c r="K130" s="118">
        <f t="shared" si="23"/>
        <v>21.550666666666668</v>
      </c>
      <c r="L130" s="118">
        <f t="shared" si="23"/>
        <v>25.804333333333332</v>
      </c>
      <c r="M130" s="118">
        <f t="shared" si="23"/>
        <v>987.10766666666677</v>
      </c>
      <c r="N130" s="118">
        <f t="shared" si="23"/>
        <v>1235.6453333333332</v>
      </c>
      <c r="O130" s="118">
        <f t="shared" si="23"/>
        <v>538.05150000000003</v>
      </c>
      <c r="P130" s="118">
        <f t="shared" si="23"/>
        <v>35.565666666666665</v>
      </c>
    </row>
    <row r="131" spans="1:16" s="36" customFormat="1" ht="20.100000000000001" customHeight="1" x14ac:dyDescent="0.3">
      <c r="B131" s="41"/>
      <c r="C131" s="41"/>
      <c r="D131" s="46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</row>
    <row r="132" spans="1:16" s="36" customFormat="1" ht="20.100000000000001" customHeight="1" x14ac:dyDescent="0.3">
      <c r="B132" s="39" t="s">
        <v>118</v>
      </c>
      <c r="C132" s="38"/>
      <c r="D132" s="46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1:16" s="36" customFormat="1" ht="20.100000000000001" customHeight="1" x14ac:dyDescent="0.3">
      <c r="B133" s="39" t="s">
        <v>113</v>
      </c>
      <c r="C133" s="38"/>
      <c r="D133" s="46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s="36" customFormat="1" ht="20.100000000000001" customHeight="1" x14ac:dyDescent="0.3">
      <c r="B134" s="39" t="s">
        <v>306</v>
      </c>
      <c r="C134" s="38"/>
      <c r="D134" s="46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1:16" s="36" customFormat="1" ht="20.100000000000001" customHeight="1" x14ac:dyDescent="0.3">
      <c r="B135" s="41"/>
      <c r="C135" s="41"/>
      <c r="D135" s="46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</row>
    <row r="136" spans="1:16" s="36" customFormat="1" ht="39.75" customHeight="1" x14ac:dyDescent="0.3">
      <c r="B136" s="134" t="s">
        <v>0</v>
      </c>
      <c r="C136" s="134" t="s">
        <v>1</v>
      </c>
      <c r="D136" s="135" t="s">
        <v>2</v>
      </c>
      <c r="E136" s="132" t="s">
        <v>3</v>
      </c>
      <c r="F136" s="132"/>
      <c r="G136" s="132"/>
      <c r="H136" s="132" t="s">
        <v>4</v>
      </c>
      <c r="I136" s="132" t="s">
        <v>5</v>
      </c>
      <c r="J136" s="132"/>
      <c r="K136" s="132"/>
      <c r="L136" s="132"/>
      <c r="M136" s="132" t="s">
        <v>6</v>
      </c>
      <c r="N136" s="132"/>
      <c r="O136" s="132"/>
      <c r="P136" s="132"/>
    </row>
    <row r="137" spans="1:16" s="36" customFormat="1" ht="33.6" customHeight="1" x14ac:dyDescent="0.3">
      <c r="B137" s="134"/>
      <c r="C137" s="134"/>
      <c r="D137" s="135"/>
      <c r="E137" s="66" t="s">
        <v>7</v>
      </c>
      <c r="F137" s="66" t="s">
        <v>8</v>
      </c>
      <c r="G137" s="66" t="s">
        <v>9</v>
      </c>
      <c r="H137" s="132"/>
      <c r="I137" s="66" t="s">
        <v>114</v>
      </c>
      <c r="J137" s="66" t="s">
        <v>10</v>
      </c>
      <c r="K137" s="66" t="s">
        <v>11</v>
      </c>
      <c r="L137" s="66" t="s">
        <v>12</v>
      </c>
      <c r="M137" s="66" t="s">
        <v>13</v>
      </c>
      <c r="N137" s="66" t="s">
        <v>14</v>
      </c>
      <c r="O137" s="66" t="s">
        <v>15</v>
      </c>
      <c r="P137" s="66" t="s">
        <v>16</v>
      </c>
    </row>
    <row r="138" spans="1:16" ht="20.100000000000001" customHeight="1" x14ac:dyDescent="0.25">
      <c r="A138" s="27">
        <v>5</v>
      </c>
      <c r="B138" s="132" t="s">
        <v>17</v>
      </c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</row>
    <row r="139" spans="1:16" ht="38.25" customHeight="1" x14ac:dyDescent="0.3">
      <c r="A139" s="27">
        <v>5</v>
      </c>
      <c r="B139" s="65" t="s">
        <v>241</v>
      </c>
      <c r="C139" s="71" t="s">
        <v>242</v>
      </c>
      <c r="D139" s="123" t="s">
        <v>307</v>
      </c>
      <c r="E139" s="51">
        <v>11.48</v>
      </c>
      <c r="F139" s="51">
        <v>12.259</v>
      </c>
      <c r="G139" s="51">
        <v>47.724000000000004</v>
      </c>
      <c r="H139" s="51">
        <v>341.32499999999999</v>
      </c>
      <c r="I139" s="51">
        <v>6.1499999999999992E-2</v>
      </c>
      <c r="J139" s="51">
        <v>6.56</v>
      </c>
      <c r="K139" s="51">
        <v>0.41</v>
      </c>
      <c r="L139" s="51">
        <v>2.0499999999999998</v>
      </c>
      <c r="M139" s="51">
        <v>177.59149999999997</v>
      </c>
      <c r="N139" s="51">
        <v>193.11</v>
      </c>
      <c r="O139" s="51">
        <v>41.163999999999994</v>
      </c>
      <c r="P139" s="51">
        <v>0.61499999999999999</v>
      </c>
    </row>
    <row r="140" spans="1:16" ht="17.45" customHeight="1" x14ac:dyDescent="0.3">
      <c r="A140" s="27">
        <v>5</v>
      </c>
      <c r="B140" s="65" t="s">
        <v>187</v>
      </c>
      <c r="C140" s="71" t="s">
        <v>24</v>
      </c>
      <c r="D140" s="111">
        <v>30</v>
      </c>
      <c r="E140" s="51">
        <v>3.2</v>
      </c>
      <c r="F140" s="51">
        <v>0.1</v>
      </c>
      <c r="G140" s="51">
        <v>21.2</v>
      </c>
      <c r="H140" s="51">
        <v>108</v>
      </c>
      <c r="I140" s="51">
        <v>0.08</v>
      </c>
      <c r="J140" s="51">
        <v>1.6</v>
      </c>
      <c r="K140" s="51">
        <v>0</v>
      </c>
      <c r="L140" s="51">
        <v>0</v>
      </c>
      <c r="M140" s="51">
        <v>15.2</v>
      </c>
      <c r="N140" s="51">
        <v>52</v>
      </c>
      <c r="O140" s="51">
        <v>10.4</v>
      </c>
      <c r="P140" s="51">
        <v>1</v>
      </c>
    </row>
    <row r="141" spans="1:16" s="68" customFormat="1" ht="17.45" customHeight="1" x14ac:dyDescent="0.3">
      <c r="B141" s="65" t="s">
        <v>211</v>
      </c>
      <c r="C141" s="71" t="s">
        <v>134</v>
      </c>
      <c r="D141" s="111">
        <v>10</v>
      </c>
      <c r="E141" s="51">
        <v>0.08</v>
      </c>
      <c r="F141" s="51">
        <v>7.25</v>
      </c>
      <c r="G141" s="51">
        <v>0.13</v>
      </c>
      <c r="H141" s="51">
        <v>66.099999999999994</v>
      </c>
      <c r="I141" s="51">
        <v>1E-3</v>
      </c>
      <c r="J141" s="51">
        <v>0</v>
      </c>
      <c r="K141" s="51">
        <v>0.04</v>
      </c>
      <c r="L141" s="51">
        <v>0.1</v>
      </c>
      <c r="M141" s="51">
        <v>2.4</v>
      </c>
      <c r="N141" s="51">
        <v>3</v>
      </c>
      <c r="O141" s="51">
        <v>0</v>
      </c>
      <c r="P141" s="51">
        <v>0.02</v>
      </c>
    </row>
    <row r="142" spans="1:16" ht="20.100000000000001" customHeight="1" x14ac:dyDescent="0.3">
      <c r="A142" s="27">
        <v>5</v>
      </c>
      <c r="B142" s="65"/>
      <c r="C142" s="71" t="s">
        <v>273</v>
      </c>
      <c r="D142" s="111">
        <v>100</v>
      </c>
      <c r="E142" s="51">
        <v>2.7</v>
      </c>
      <c r="F142" s="51">
        <v>3</v>
      </c>
      <c r="G142" s="51">
        <v>17</v>
      </c>
      <c r="H142" s="51">
        <v>110</v>
      </c>
      <c r="I142" s="51">
        <v>0.1</v>
      </c>
      <c r="J142" s="51">
        <v>1.4</v>
      </c>
      <c r="K142" s="51">
        <v>0.4</v>
      </c>
      <c r="L142" s="51">
        <v>0.1</v>
      </c>
      <c r="M142" s="51">
        <v>240</v>
      </c>
      <c r="N142" s="51">
        <v>165</v>
      </c>
      <c r="O142" s="51">
        <v>28</v>
      </c>
      <c r="P142" s="51">
        <v>0.2</v>
      </c>
    </row>
    <row r="143" spans="1:16" ht="21.75" customHeight="1" x14ac:dyDescent="0.3">
      <c r="A143" s="27">
        <v>5</v>
      </c>
      <c r="B143" s="65"/>
      <c r="C143" s="71" t="s">
        <v>246</v>
      </c>
      <c r="D143" s="111">
        <v>35</v>
      </c>
      <c r="E143" s="51">
        <v>1.925</v>
      </c>
      <c r="F143" s="51">
        <v>2.2749999999999999</v>
      </c>
      <c r="G143" s="51">
        <v>12.215</v>
      </c>
      <c r="H143" s="51">
        <v>0</v>
      </c>
      <c r="I143" s="51">
        <v>1.4000000000000002E-2</v>
      </c>
      <c r="J143" s="51">
        <v>3.15E-2</v>
      </c>
      <c r="K143" s="51">
        <v>3.5000000000000003E-2</v>
      </c>
      <c r="L143" s="51">
        <v>1.47</v>
      </c>
      <c r="M143" s="51">
        <v>10.744999999999999</v>
      </c>
      <c r="N143" s="51">
        <v>19.984999999999999</v>
      </c>
      <c r="O143" s="51">
        <v>2.2400000000000002</v>
      </c>
      <c r="P143" s="51">
        <v>0.245</v>
      </c>
    </row>
    <row r="144" spans="1:16" s="68" customFormat="1" ht="18" customHeight="1" x14ac:dyDescent="0.3">
      <c r="B144" s="65"/>
      <c r="C144" s="71" t="s">
        <v>172</v>
      </c>
      <c r="D144" s="111"/>
      <c r="E144" s="51">
        <f>SUM(E142:E143)/2</f>
        <v>2.3125</v>
      </c>
      <c r="F144" s="51">
        <f t="shared" ref="F144:P144" si="24">SUM(F142:F143)/2</f>
        <v>2.6375000000000002</v>
      </c>
      <c r="G144" s="51">
        <f t="shared" si="24"/>
        <v>14.6075</v>
      </c>
      <c r="H144" s="51">
        <f t="shared" si="24"/>
        <v>55</v>
      </c>
      <c r="I144" s="51">
        <f t="shared" si="24"/>
        <v>5.7000000000000002E-2</v>
      </c>
      <c r="J144" s="51">
        <f t="shared" si="24"/>
        <v>0.71575</v>
      </c>
      <c r="K144" s="51">
        <f t="shared" si="24"/>
        <v>0.21750000000000003</v>
      </c>
      <c r="L144" s="51">
        <f t="shared" si="24"/>
        <v>0.78500000000000003</v>
      </c>
      <c r="M144" s="51">
        <f t="shared" si="24"/>
        <v>125.3725</v>
      </c>
      <c r="N144" s="51">
        <f t="shared" si="24"/>
        <v>92.492500000000007</v>
      </c>
      <c r="O144" s="51">
        <f t="shared" si="24"/>
        <v>15.120000000000001</v>
      </c>
      <c r="P144" s="51">
        <f t="shared" si="24"/>
        <v>0.2225</v>
      </c>
    </row>
    <row r="145" spans="1:16" ht="18" customHeight="1" x14ac:dyDescent="0.3">
      <c r="A145" s="27">
        <v>5</v>
      </c>
      <c r="B145" s="65" t="s">
        <v>164</v>
      </c>
      <c r="C145" s="71" t="s">
        <v>26</v>
      </c>
      <c r="D145" s="111" t="s">
        <v>127</v>
      </c>
      <c r="E145" s="51">
        <v>0.08</v>
      </c>
      <c r="F145" s="51">
        <v>0.02</v>
      </c>
      <c r="G145" s="51">
        <v>15</v>
      </c>
      <c r="H145" s="51">
        <v>60.5</v>
      </c>
      <c r="I145" s="51">
        <v>0</v>
      </c>
      <c r="J145" s="51">
        <v>0</v>
      </c>
      <c r="K145" s="51">
        <v>0.04</v>
      </c>
      <c r="L145" s="51">
        <v>0</v>
      </c>
      <c r="M145" s="51">
        <v>11.1</v>
      </c>
      <c r="N145" s="51">
        <v>1.4</v>
      </c>
      <c r="O145" s="51">
        <v>2.8</v>
      </c>
      <c r="P145" s="51">
        <v>0.28000000000000003</v>
      </c>
    </row>
    <row r="146" spans="1:16" ht="18" customHeight="1" x14ac:dyDescent="0.25">
      <c r="A146" s="27">
        <v>5</v>
      </c>
      <c r="B146" s="114"/>
      <c r="C146" s="114" t="s">
        <v>18</v>
      </c>
      <c r="D146" s="115"/>
      <c r="E146" s="114">
        <f>SUM(E139+E140+E141+E144+E145)</f>
        <v>17.152499999999996</v>
      </c>
      <c r="F146" s="114">
        <f t="shared" ref="F146:P146" si="25">SUM(F139+F140+F141+F144+F145)</f>
        <v>22.266500000000001</v>
      </c>
      <c r="G146" s="114">
        <f t="shared" si="25"/>
        <v>98.661500000000004</v>
      </c>
      <c r="H146" s="114">
        <f t="shared" si="25"/>
        <v>630.92499999999995</v>
      </c>
      <c r="I146" s="114">
        <f t="shared" si="25"/>
        <v>0.19949999999999998</v>
      </c>
      <c r="J146" s="114">
        <f t="shared" si="25"/>
        <v>8.87575</v>
      </c>
      <c r="K146" s="114">
        <f t="shared" si="25"/>
        <v>0.70750000000000002</v>
      </c>
      <c r="L146" s="114">
        <f t="shared" si="25"/>
        <v>2.9350000000000001</v>
      </c>
      <c r="M146" s="114">
        <f t="shared" si="25"/>
        <v>331.66399999999999</v>
      </c>
      <c r="N146" s="114">
        <f t="shared" si="25"/>
        <v>342.0025</v>
      </c>
      <c r="O146" s="114">
        <f t="shared" si="25"/>
        <v>69.483999999999995</v>
      </c>
      <c r="P146" s="114">
        <f t="shared" si="25"/>
        <v>2.1375000000000002</v>
      </c>
    </row>
    <row r="147" spans="1:16" ht="21.75" customHeight="1" x14ac:dyDescent="0.25">
      <c r="A147" s="27">
        <v>5</v>
      </c>
      <c r="B147" s="132" t="s">
        <v>19</v>
      </c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</row>
    <row r="148" spans="1:16" s="68" customFormat="1" ht="21.75" customHeight="1" x14ac:dyDescent="0.25">
      <c r="B148" s="118" t="s">
        <v>297</v>
      </c>
      <c r="C148" s="71" t="s">
        <v>296</v>
      </c>
      <c r="D148" s="72">
        <v>100</v>
      </c>
      <c r="E148" s="30">
        <v>4.7</v>
      </c>
      <c r="F148" s="30">
        <v>9.5</v>
      </c>
      <c r="G148" s="30">
        <v>7.13</v>
      </c>
      <c r="H148" s="30">
        <v>132.80000000000001</v>
      </c>
      <c r="I148" s="30">
        <v>0.04</v>
      </c>
      <c r="J148" s="30">
        <v>0.02</v>
      </c>
      <c r="K148" s="30">
        <v>8.2100000000000009</v>
      </c>
      <c r="L148" s="30">
        <v>2.36</v>
      </c>
      <c r="M148" s="30">
        <v>161.97</v>
      </c>
      <c r="N148" s="30">
        <v>23.07</v>
      </c>
      <c r="O148" s="30">
        <v>109.93</v>
      </c>
      <c r="P148" s="30">
        <v>1.28</v>
      </c>
    </row>
    <row r="149" spans="1:16" ht="39.75" customHeight="1" x14ac:dyDescent="0.25">
      <c r="A149" s="27">
        <v>5</v>
      </c>
      <c r="B149" s="122" t="s">
        <v>315</v>
      </c>
      <c r="C149" s="71" t="s">
        <v>111</v>
      </c>
      <c r="D149" s="123" t="s">
        <v>316</v>
      </c>
      <c r="E149" s="30">
        <v>5.3365000000000009</v>
      </c>
      <c r="F149" s="30">
        <v>16.692</v>
      </c>
      <c r="G149" s="30">
        <v>29.334499999999998</v>
      </c>
      <c r="H149" s="30">
        <v>288.91200000000003</v>
      </c>
      <c r="I149" s="30">
        <v>1.3000000000000001E-2</v>
      </c>
      <c r="J149" s="30">
        <v>0.13</v>
      </c>
      <c r="K149" s="30">
        <v>53.95</v>
      </c>
      <c r="L149" s="30">
        <v>6.63</v>
      </c>
      <c r="M149" s="30">
        <v>152.75</v>
      </c>
      <c r="N149" s="30">
        <v>83.85</v>
      </c>
      <c r="O149" s="30">
        <v>144.30000000000001</v>
      </c>
      <c r="P149" s="30">
        <v>3.25</v>
      </c>
    </row>
    <row r="150" spans="1:16" s="68" customFormat="1" ht="19.5" customHeight="1" x14ac:dyDescent="0.25">
      <c r="B150" s="122" t="s">
        <v>190</v>
      </c>
      <c r="C150" s="71" t="s">
        <v>163</v>
      </c>
      <c r="D150" s="123" t="s">
        <v>317</v>
      </c>
      <c r="E150" s="30">
        <v>13.26</v>
      </c>
      <c r="F150" s="30">
        <v>8.06</v>
      </c>
      <c r="G150" s="30">
        <v>2.99</v>
      </c>
      <c r="H150" s="30">
        <v>137.54</v>
      </c>
      <c r="I150" s="30">
        <v>0</v>
      </c>
      <c r="J150" s="30">
        <v>0.13</v>
      </c>
      <c r="K150" s="30">
        <v>1.43</v>
      </c>
      <c r="L150" s="30">
        <v>2.4700000000000002</v>
      </c>
      <c r="M150" s="30">
        <v>62.4</v>
      </c>
      <c r="N150" s="30">
        <v>74.23</v>
      </c>
      <c r="O150" s="30">
        <v>292.37</v>
      </c>
      <c r="P150" s="30">
        <v>1.3</v>
      </c>
    </row>
    <row r="151" spans="1:16" s="68" customFormat="1" ht="17.45" customHeight="1" x14ac:dyDescent="0.25">
      <c r="B151" s="122" t="s">
        <v>168</v>
      </c>
      <c r="C151" s="71" t="s">
        <v>215</v>
      </c>
      <c r="D151" s="123">
        <v>180</v>
      </c>
      <c r="E151" s="30">
        <v>3.6719999999999997</v>
      </c>
      <c r="F151" s="30">
        <v>5.76</v>
      </c>
      <c r="G151" s="30">
        <v>19.079999999999998</v>
      </c>
      <c r="H151" s="30">
        <v>142.84799999999998</v>
      </c>
      <c r="I151" s="30">
        <v>0.16200000000000001</v>
      </c>
      <c r="J151" s="30">
        <v>21.797999999999998</v>
      </c>
      <c r="K151" s="30">
        <v>3.6000000000000004E-2</v>
      </c>
      <c r="L151" s="30">
        <v>0.21599999999999997</v>
      </c>
      <c r="M151" s="30">
        <v>44.37</v>
      </c>
      <c r="N151" s="30">
        <v>103.914</v>
      </c>
      <c r="O151" s="30">
        <v>33.299999999999997</v>
      </c>
      <c r="P151" s="30">
        <v>1.2060000000000002</v>
      </c>
    </row>
    <row r="152" spans="1:16" ht="18" customHeight="1" x14ac:dyDescent="0.25">
      <c r="A152" s="27">
        <v>5</v>
      </c>
      <c r="B152" s="122" t="s">
        <v>216</v>
      </c>
      <c r="C152" s="71" t="s">
        <v>217</v>
      </c>
      <c r="D152" s="123">
        <v>180</v>
      </c>
      <c r="E152" s="30">
        <v>3.222</v>
      </c>
      <c r="F152" s="30">
        <v>18.594000000000001</v>
      </c>
      <c r="G152" s="30">
        <v>24.408000000000001</v>
      </c>
      <c r="H152" s="30">
        <v>222.3</v>
      </c>
      <c r="I152" s="30">
        <v>0.18</v>
      </c>
      <c r="J152" s="30">
        <v>41.85</v>
      </c>
      <c r="K152" s="30">
        <v>0</v>
      </c>
      <c r="L152" s="30">
        <v>8.0640000000000001</v>
      </c>
      <c r="M152" s="30">
        <v>43.92</v>
      </c>
      <c r="N152" s="30">
        <v>94.716000000000008</v>
      </c>
      <c r="O152" s="30">
        <v>41.238</v>
      </c>
      <c r="P152" s="30">
        <v>1.548</v>
      </c>
    </row>
    <row r="153" spans="1:16" ht="22.5" customHeight="1" x14ac:dyDescent="0.25">
      <c r="A153" s="27">
        <v>5</v>
      </c>
      <c r="B153" s="110"/>
      <c r="C153" s="71" t="s">
        <v>172</v>
      </c>
      <c r="D153" s="111"/>
      <c r="E153" s="30">
        <f>SUM(E151:E152)/2</f>
        <v>3.4470000000000001</v>
      </c>
      <c r="F153" s="30">
        <f t="shared" ref="F153:O153" si="26">SUM(F151:F152)/2</f>
        <v>12.177</v>
      </c>
      <c r="G153" s="30">
        <f t="shared" si="26"/>
        <v>21.744</v>
      </c>
      <c r="H153" s="30">
        <f t="shared" si="26"/>
        <v>182.57400000000001</v>
      </c>
      <c r="I153" s="30">
        <f t="shared" si="26"/>
        <v>0.17099999999999999</v>
      </c>
      <c r="J153" s="30">
        <f t="shared" si="26"/>
        <v>31.823999999999998</v>
      </c>
      <c r="K153" s="30">
        <f t="shared" si="26"/>
        <v>1.8000000000000002E-2</v>
      </c>
      <c r="L153" s="30">
        <f t="shared" si="26"/>
        <v>4.1399999999999997</v>
      </c>
      <c r="M153" s="30">
        <f t="shared" si="26"/>
        <v>44.144999999999996</v>
      </c>
      <c r="N153" s="30">
        <f t="shared" si="26"/>
        <v>99.314999999999998</v>
      </c>
      <c r="O153" s="30">
        <f t="shared" si="26"/>
        <v>37.268999999999998</v>
      </c>
      <c r="P153" s="30">
        <f t="shared" ref="P153" si="27">SUM(P151:P152)/2</f>
        <v>1.3770000000000002</v>
      </c>
    </row>
    <row r="154" spans="1:16" ht="21" customHeight="1" x14ac:dyDescent="0.25">
      <c r="A154" s="27">
        <v>5</v>
      </c>
      <c r="B154" s="110" t="s">
        <v>179</v>
      </c>
      <c r="C154" s="71" t="s">
        <v>58</v>
      </c>
      <c r="D154" s="111">
        <v>200</v>
      </c>
      <c r="E154" s="30">
        <v>0.66</v>
      </c>
      <c r="F154" s="30">
        <v>0.1</v>
      </c>
      <c r="G154" s="30">
        <v>28.02</v>
      </c>
      <c r="H154" s="30">
        <v>109.48</v>
      </c>
      <c r="I154" s="30">
        <v>0</v>
      </c>
      <c r="J154" s="30">
        <v>0.02</v>
      </c>
      <c r="K154" s="30">
        <v>0.68</v>
      </c>
      <c r="L154" s="30">
        <v>0.5</v>
      </c>
      <c r="M154" s="30">
        <v>32.479999999999997</v>
      </c>
      <c r="N154" s="30">
        <v>17.46</v>
      </c>
      <c r="O154" s="30">
        <v>23.44</v>
      </c>
      <c r="P154" s="30">
        <v>0.7</v>
      </c>
    </row>
    <row r="155" spans="1:16" s="68" customFormat="1" ht="17.45" customHeight="1" x14ac:dyDescent="0.25">
      <c r="B155" s="122" t="s">
        <v>182</v>
      </c>
      <c r="C155" s="71" t="s">
        <v>20</v>
      </c>
      <c r="D155" s="123">
        <v>40</v>
      </c>
      <c r="E155" s="30">
        <v>3.0666666666666664</v>
      </c>
      <c r="F155" s="30">
        <v>0.26666666666666672</v>
      </c>
      <c r="G155" s="30">
        <v>19.733333333333334</v>
      </c>
      <c r="H155" s="30">
        <v>94</v>
      </c>
      <c r="I155" s="30">
        <v>0</v>
      </c>
      <c r="J155" s="30">
        <v>0</v>
      </c>
      <c r="K155" s="30">
        <v>0</v>
      </c>
      <c r="L155" s="30">
        <v>0.4</v>
      </c>
      <c r="M155" s="30">
        <v>8</v>
      </c>
      <c r="N155" s="30">
        <v>26</v>
      </c>
      <c r="O155" s="30">
        <v>5.6000000000000014</v>
      </c>
      <c r="P155" s="30">
        <v>0.4</v>
      </c>
    </row>
    <row r="156" spans="1:16" ht="18.600000000000001" customHeight="1" x14ac:dyDescent="0.25">
      <c r="A156" s="27">
        <v>5</v>
      </c>
      <c r="B156" s="122" t="s">
        <v>191</v>
      </c>
      <c r="C156" s="71" t="s">
        <v>21</v>
      </c>
      <c r="D156" s="123">
        <v>50</v>
      </c>
      <c r="E156" s="30">
        <v>3.25</v>
      </c>
      <c r="F156" s="30">
        <v>0.625</v>
      </c>
      <c r="G156" s="30">
        <v>19.75</v>
      </c>
      <c r="H156" s="30">
        <v>99</v>
      </c>
      <c r="I156" s="30">
        <v>0.125</v>
      </c>
      <c r="J156" s="30">
        <v>0</v>
      </c>
      <c r="K156" s="30">
        <v>0</v>
      </c>
      <c r="L156" s="30">
        <v>0.75</v>
      </c>
      <c r="M156" s="30">
        <v>14.499999999999998</v>
      </c>
      <c r="N156" s="30">
        <v>75</v>
      </c>
      <c r="O156" s="30">
        <v>23.5</v>
      </c>
      <c r="P156" s="30">
        <v>2</v>
      </c>
    </row>
    <row r="157" spans="1:16" ht="18" customHeight="1" x14ac:dyDescent="0.25">
      <c r="A157" s="27">
        <v>5</v>
      </c>
      <c r="B157" s="114"/>
      <c r="C157" s="114" t="s">
        <v>18</v>
      </c>
      <c r="D157" s="115"/>
      <c r="E157" s="114">
        <f>SUM(E148+E149+E150+E153+E154+E155+E156)</f>
        <v>33.720166666666671</v>
      </c>
      <c r="F157" s="114">
        <f t="shared" ref="F157:P157" si="28">SUM(F148+F149+F150+F153+F154+F155+F156)</f>
        <v>47.420666666666669</v>
      </c>
      <c r="G157" s="114">
        <f t="shared" si="28"/>
        <v>128.70183333333335</v>
      </c>
      <c r="H157" s="114">
        <f t="shared" si="28"/>
        <v>1044.306</v>
      </c>
      <c r="I157" s="114">
        <f t="shared" si="28"/>
        <v>0.34899999999999998</v>
      </c>
      <c r="J157" s="114">
        <f t="shared" si="28"/>
        <v>32.124000000000002</v>
      </c>
      <c r="K157" s="114">
        <f t="shared" si="28"/>
        <v>64.288000000000011</v>
      </c>
      <c r="L157" s="114">
        <f t="shared" si="28"/>
        <v>17.25</v>
      </c>
      <c r="M157" s="114">
        <f t="shared" si="28"/>
        <v>476.245</v>
      </c>
      <c r="N157" s="114">
        <f t="shared" si="28"/>
        <v>398.92499999999995</v>
      </c>
      <c r="O157" s="114">
        <f t="shared" si="28"/>
        <v>636.40900000000011</v>
      </c>
      <c r="P157" s="114">
        <f t="shared" si="28"/>
        <v>10.307</v>
      </c>
    </row>
    <row r="158" spans="1:16" ht="18" customHeight="1" x14ac:dyDescent="0.25">
      <c r="A158" s="27">
        <v>5</v>
      </c>
      <c r="B158" s="132" t="s">
        <v>22</v>
      </c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</row>
    <row r="159" spans="1:16" ht="38.25" customHeight="1" x14ac:dyDescent="0.25">
      <c r="A159" s="27">
        <v>5</v>
      </c>
      <c r="B159" s="66" t="s">
        <v>198</v>
      </c>
      <c r="C159" s="37" t="s">
        <v>324</v>
      </c>
      <c r="D159" s="67">
        <v>100</v>
      </c>
      <c r="E159" s="30">
        <v>12.88</v>
      </c>
      <c r="F159" s="30">
        <v>12.86</v>
      </c>
      <c r="G159" s="30">
        <v>60.38</v>
      </c>
      <c r="H159" s="30">
        <v>236.94</v>
      </c>
      <c r="I159" s="30">
        <v>7.0000000000000007E-2</v>
      </c>
      <c r="J159" s="30">
        <v>3.27</v>
      </c>
      <c r="K159" s="30">
        <v>0.82499999999999996</v>
      </c>
      <c r="L159" s="30">
        <v>0.81</v>
      </c>
      <c r="M159" s="30">
        <v>236.22</v>
      </c>
      <c r="N159" s="30">
        <v>21.05</v>
      </c>
      <c r="O159" s="30">
        <v>192.82</v>
      </c>
      <c r="P159" s="30">
        <v>1.19</v>
      </c>
    </row>
    <row r="160" spans="1:16" ht="17.45" customHeight="1" x14ac:dyDescent="0.25">
      <c r="A160" s="27">
        <v>5</v>
      </c>
      <c r="B160" s="66" t="s">
        <v>188</v>
      </c>
      <c r="C160" s="37" t="s">
        <v>230</v>
      </c>
      <c r="D160" s="67">
        <v>200</v>
      </c>
      <c r="E160" s="30">
        <v>0</v>
      </c>
      <c r="F160" s="30">
        <v>0.02</v>
      </c>
      <c r="G160" s="30">
        <v>15.08</v>
      </c>
      <c r="H160" s="30">
        <v>60.4</v>
      </c>
      <c r="I160" s="30">
        <v>0.02</v>
      </c>
      <c r="J160" s="30">
        <v>0.18</v>
      </c>
      <c r="K160" s="30">
        <v>0.02</v>
      </c>
      <c r="L160" s="30">
        <v>0</v>
      </c>
      <c r="M160" s="30">
        <v>0.46</v>
      </c>
      <c r="N160" s="30">
        <v>0</v>
      </c>
      <c r="O160" s="30">
        <v>0.02</v>
      </c>
      <c r="P160" s="30">
        <v>0.26</v>
      </c>
    </row>
    <row r="161" spans="1:16" ht="21" customHeight="1" x14ac:dyDescent="0.25">
      <c r="A161" s="27">
        <v>5</v>
      </c>
      <c r="B161" s="114"/>
      <c r="C161" s="114" t="s">
        <v>18</v>
      </c>
      <c r="D161" s="115"/>
      <c r="E161" s="114">
        <f>SUM(E159:E160)</f>
        <v>12.88</v>
      </c>
      <c r="F161" s="114">
        <f t="shared" ref="F161:P161" si="29">SUM(F159:F160)</f>
        <v>12.879999999999999</v>
      </c>
      <c r="G161" s="114">
        <f t="shared" si="29"/>
        <v>75.460000000000008</v>
      </c>
      <c r="H161" s="114">
        <f t="shared" si="29"/>
        <v>297.33999999999997</v>
      </c>
      <c r="I161" s="114">
        <f t="shared" si="29"/>
        <v>9.0000000000000011E-2</v>
      </c>
      <c r="J161" s="114">
        <f t="shared" si="29"/>
        <v>3.45</v>
      </c>
      <c r="K161" s="114">
        <f t="shared" si="29"/>
        <v>0.84499999999999997</v>
      </c>
      <c r="L161" s="114">
        <f t="shared" si="29"/>
        <v>0.81</v>
      </c>
      <c r="M161" s="114">
        <f t="shared" si="29"/>
        <v>236.68</v>
      </c>
      <c r="N161" s="114">
        <f t="shared" si="29"/>
        <v>21.05</v>
      </c>
      <c r="O161" s="114">
        <f t="shared" si="29"/>
        <v>192.84</v>
      </c>
      <c r="P161" s="114">
        <f t="shared" si="29"/>
        <v>1.45</v>
      </c>
    </row>
    <row r="162" spans="1:16" ht="20.100000000000001" customHeight="1" x14ac:dyDescent="0.25">
      <c r="A162" s="27">
        <v>5</v>
      </c>
      <c r="B162" s="66"/>
      <c r="C162" s="66" t="s">
        <v>30</v>
      </c>
      <c r="D162" s="67"/>
      <c r="E162" s="66">
        <f>SUM(E146+E157+E161)</f>
        <v>63.75266666666667</v>
      </c>
      <c r="F162" s="118">
        <f t="shared" ref="F162:P162" si="30">SUM(F146+F157+F161)</f>
        <v>82.567166666666665</v>
      </c>
      <c r="G162" s="118">
        <f t="shared" si="30"/>
        <v>302.82333333333338</v>
      </c>
      <c r="H162" s="118">
        <f t="shared" si="30"/>
        <v>1972.5709999999999</v>
      </c>
      <c r="I162" s="118">
        <f t="shared" si="30"/>
        <v>0.63849999999999996</v>
      </c>
      <c r="J162" s="118">
        <f t="shared" si="30"/>
        <v>44.449750000000009</v>
      </c>
      <c r="K162" s="118">
        <f t="shared" si="30"/>
        <v>65.840500000000006</v>
      </c>
      <c r="L162" s="118">
        <f t="shared" si="30"/>
        <v>20.994999999999997</v>
      </c>
      <c r="M162" s="118">
        <f t="shared" si="30"/>
        <v>1044.5889999999999</v>
      </c>
      <c r="N162" s="118">
        <f t="shared" si="30"/>
        <v>761.97749999999996</v>
      </c>
      <c r="O162" s="118">
        <f t="shared" si="30"/>
        <v>898.73300000000017</v>
      </c>
      <c r="P162" s="118">
        <f t="shared" si="30"/>
        <v>13.894500000000001</v>
      </c>
    </row>
    <row r="163" spans="1:16" s="36" customFormat="1" ht="20.100000000000001" customHeight="1" x14ac:dyDescent="0.3">
      <c r="B163" s="41"/>
      <c r="C163" s="41"/>
      <c r="D163" s="46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</row>
    <row r="164" spans="1:16" s="36" customFormat="1" ht="20.100000000000001" customHeight="1" x14ac:dyDescent="0.3">
      <c r="B164" s="39" t="s">
        <v>119</v>
      </c>
      <c r="C164" s="38"/>
      <c r="D164" s="46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</row>
    <row r="165" spans="1:16" s="36" customFormat="1" ht="20.100000000000001" customHeight="1" x14ac:dyDescent="0.3">
      <c r="B165" s="39" t="s">
        <v>120</v>
      </c>
      <c r="C165" s="38"/>
      <c r="D165" s="46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</row>
    <row r="166" spans="1:16" s="36" customFormat="1" ht="20.100000000000001" customHeight="1" x14ac:dyDescent="0.3">
      <c r="B166" s="39" t="s">
        <v>306</v>
      </c>
      <c r="C166" s="38"/>
      <c r="D166" s="46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spans="1:16" s="36" customFormat="1" ht="20.100000000000001" customHeight="1" x14ac:dyDescent="0.3">
      <c r="B167" s="41"/>
      <c r="C167" s="41"/>
      <c r="D167" s="46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spans="1:16" s="36" customFormat="1" ht="37.5" customHeight="1" x14ac:dyDescent="0.3">
      <c r="B168" s="134" t="s">
        <v>0</v>
      </c>
      <c r="C168" s="134" t="s">
        <v>1</v>
      </c>
      <c r="D168" s="135" t="s">
        <v>2</v>
      </c>
      <c r="E168" s="132" t="s">
        <v>3</v>
      </c>
      <c r="F168" s="132"/>
      <c r="G168" s="132"/>
      <c r="H168" s="132" t="s">
        <v>4</v>
      </c>
      <c r="I168" s="132" t="s">
        <v>5</v>
      </c>
      <c r="J168" s="132"/>
      <c r="K168" s="132"/>
      <c r="L168" s="132"/>
      <c r="M168" s="132" t="s">
        <v>6</v>
      </c>
      <c r="N168" s="132"/>
      <c r="O168" s="132"/>
      <c r="P168" s="132"/>
    </row>
    <row r="169" spans="1:16" s="36" customFormat="1" ht="33" customHeight="1" x14ac:dyDescent="0.3">
      <c r="B169" s="134"/>
      <c r="C169" s="134"/>
      <c r="D169" s="135"/>
      <c r="E169" s="66" t="s">
        <v>7</v>
      </c>
      <c r="F169" s="66" t="s">
        <v>8</v>
      </c>
      <c r="G169" s="66" t="s">
        <v>9</v>
      </c>
      <c r="H169" s="132"/>
      <c r="I169" s="66" t="s">
        <v>114</v>
      </c>
      <c r="J169" s="66" t="s">
        <v>10</v>
      </c>
      <c r="K169" s="66" t="s">
        <v>11</v>
      </c>
      <c r="L169" s="66" t="s">
        <v>12</v>
      </c>
      <c r="M169" s="66" t="s">
        <v>13</v>
      </c>
      <c r="N169" s="66" t="s">
        <v>14</v>
      </c>
      <c r="O169" s="66" t="s">
        <v>15</v>
      </c>
      <c r="P169" s="66" t="s">
        <v>16</v>
      </c>
    </row>
    <row r="170" spans="1:16" ht="18" customHeight="1" x14ac:dyDescent="0.25">
      <c r="A170" s="27">
        <v>6</v>
      </c>
      <c r="B170" s="132" t="s">
        <v>17</v>
      </c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</row>
    <row r="171" spans="1:16" ht="25.5" customHeight="1" x14ac:dyDescent="0.25">
      <c r="A171" s="27">
        <v>6</v>
      </c>
      <c r="B171" s="122" t="s">
        <v>59</v>
      </c>
      <c r="C171" s="71" t="s">
        <v>29</v>
      </c>
      <c r="D171" s="123">
        <v>200</v>
      </c>
      <c r="E171" s="30">
        <v>10.6</v>
      </c>
      <c r="F171" s="30">
        <v>11.6</v>
      </c>
      <c r="G171" s="30">
        <v>38.200000000000003</v>
      </c>
      <c r="H171" s="30">
        <v>299.60000000000002</v>
      </c>
      <c r="I171" s="30">
        <v>0.06</v>
      </c>
      <c r="J171" s="30">
        <v>0.06</v>
      </c>
      <c r="K171" s="30">
        <v>0.06</v>
      </c>
      <c r="L171" s="30">
        <v>0.94</v>
      </c>
      <c r="M171" s="30">
        <v>168</v>
      </c>
      <c r="N171" s="30">
        <v>133.4</v>
      </c>
      <c r="O171" s="30">
        <v>14.6</v>
      </c>
      <c r="P171" s="30">
        <v>1</v>
      </c>
    </row>
    <row r="172" spans="1:16" ht="21.6" customHeight="1" x14ac:dyDescent="0.25">
      <c r="A172" s="27">
        <v>6</v>
      </c>
      <c r="B172" s="110"/>
      <c r="C172" s="71" t="s">
        <v>156</v>
      </c>
      <c r="D172" s="111">
        <v>100</v>
      </c>
      <c r="E172" s="30">
        <v>5.8</v>
      </c>
      <c r="F172" s="30">
        <v>5</v>
      </c>
      <c r="G172" s="30">
        <v>8</v>
      </c>
      <c r="H172" s="30">
        <v>100.2</v>
      </c>
      <c r="I172" s="30">
        <v>0.1</v>
      </c>
      <c r="J172" s="30">
        <v>1.4</v>
      </c>
      <c r="K172" s="30">
        <v>0.4</v>
      </c>
      <c r="L172" s="30">
        <v>0.1</v>
      </c>
      <c r="M172" s="30">
        <v>240</v>
      </c>
      <c r="N172" s="30">
        <v>165</v>
      </c>
      <c r="O172" s="30">
        <v>28</v>
      </c>
      <c r="P172" s="30">
        <v>0.2</v>
      </c>
    </row>
    <row r="173" spans="1:16" ht="21.75" customHeight="1" x14ac:dyDescent="0.25">
      <c r="A173" s="27">
        <v>6</v>
      </c>
      <c r="B173" s="61" t="s">
        <v>164</v>
      </c>
      <c r="C173" s="71" t="s">
        <v>26</v>
      </c>
      <c r="D173" s="111" t="s">
        <v>127</v>
      </c>
      <c r="E173" s="30">
        <v>0.08</v>
      </c>
      <c r="F173" s="30">
        <v>0.02</v>
      </c>
      <c r="G173" s="30">
        <v>15</v>
      </c>
      <c r="H173" s="30">
        <v>60.5</v>
      </c>
      <c r="I173" s="30">
        <v>0</v>
      </c>
      <c r="J173" s="30">
        <v>0.04</v>
      </c>
      <c r="K173" s="30">
        <v>0</v>
      </c>
      <c r="L173" s="30">
        <v>0</v>
      </c>
      <c r="M173" s="30">
        <v>11.1</v>
      </c>
      <c r="N173" s="30">
        <v>2.8</v>
      </c>
      <c r="O173" s="30">
        <v>1.4</v>
      </c>
      <c r="P173" s="30">
        <v>0.28000000000000003</v>
      </c>
    </row>
    <row r="174" spans="1:16" ht="20.100000000000001" customHeight="1" x14ac:dyDescent="0.25">
      <c r="B174" s="110"/>
      <c r="C174" s="71" t="s">
        <v>246</v>
      </c>
      <c r="D174" s="111">
        <v>60</v>
      </c>
      <c r="E174" s="30">
        <v>3.3</v>
      </c>
      <c r="F174" s="30">
        <v>3.9</v>
      </c>
      <c r="G174" s="30">
        <v>20.94</v>
      </c>
      <c r="H174" s="30">
        <v>132.06</v>
      </c>
      <c r="I174" s="30">
        <v>2.4E-2</v>
      </c>
      <c r="J174" s="30">
        <v>5.3999999999999992E-2</v>
      </c>
      <c r="K174" s="30">
        <v>0.06</v>
      </c>
      <c r="L174" s="30">
        <v>2.52</v>
      </c>
      <c r="M174" s="30">
        <v>18.420000000000002</v>
      </c>
      <c r="N174" s="30">
        <v>34.26</v>
      </c>
      <c r="O174" s="30">
        <v>3.84</v>
      </c>
      <c r="P174" s="30">
        <v>0.42</v>
      </c>
    </row>
    <row r="175" spans="1:16" ht="17.45" customHeight="1" x14ac:dyDescent="0.25">
      <c r="A175" s="27">
        <v>6</v>
      </c>
      <c r="B175" s="114"/>
      <c r="C175" s="114" t="s">
        <v>18</v>
      </c>
      <c r="D175" s="121"/>
      <c r="E175" s="114">
        <f>SUM(E171:E174)</f>
        <v>19.779999999999998</v>
      </c>
      <c r="F175" s="114">
        <f t="shared" ref="F175:P175" si="31">SUM(F171:F174)</f>
        <v>20.52</v>
      </c>
      <c r="G175" s="114">
        <f t="shared" si="31"/>
        <v>82.14</v>
      </c>
      <c r="H175" s="114">
        <f t="shared" si="31"/>
        <v>592.36</v>
      </c>
      <c r="I175" s="114">
        <f t="shared" si="31"/>
        <v>0.184</v>
      </c>
      <c r="J175" s="114">
        <f t="shared" si="31"/>
        <v>1.554</v>
      </c>
      <c r="K175" s="114">
        <f t="shared" si="31"/>
        <v>0.52</v>
      </c>
      <c r="L175" s="114">
        <f t="shared" si="31"/>
        <v>3.56</v>
      </c>
      <c r="M175" s="114">
        <f t="shared" si="31"/>
        <v>437.52000000000004</v>
      </c>
      <c r="N175" s="114">
        <f t="shared" si="31"/>
        <v>335.46</v>
      </c>
      <c r="O175" s="114">
        <f t="shared" si="31"/>
        <v>47.84</v>
      </c>
      <c r="P175" s="114">
        <f t="shared" si="31"/>
        <v>1.9</v>
      </c>
    </row>
    <row r="176" spans="1:16" ht="13.9" customHeight="1" x14ac:dyDescent="0.25">
      <c r="A176" s="27">
        <v>6</v>
      </c>
      <c r="B176" s="136" t="s">
        <v>19</v>
      </c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</row>
    <row r="177" spans="1:16" ht="20.100000000000001" customHeight="1" x14ac:dyDescent="0.25">
      <c r="A177" s="27">
        <v>6</v>
      </c>
      <c r="B177" s="61" t="s">
        <v>199</v>
      </c>
      <c r="C177" s="71" t="s">
        <v>221</v>
      </c>
      <c r="D177" s="123">
        <v>100</v>
      </c>
      <c r="E177" s="30">
        <v>0.8</v>
      </c>
      <c r="F177" s="30">
        <v>0.1</v>
      </c>
      <c r="G177" s="30">
        <v>2.5</v>
      </c>
      <c r="H177" s="30">
        <v>14.1</v>
      </c>
      <c r="I177" s="30">
        <v>0</v>
      </c>
      <c r="J177" s="30">
        <v>10</v>
      </c>
      <c r="K177" s="30">
        <v>0</v>
      </c>
      <c r="L177" s="30">
        <v>0</v>
      </c>
      <c r="M177" s="30">
        <v>23.3</v>
      </c>
      <c r="N177" s="30">
        <v>41.6</v>
      </c>
      <c r="O177" s="30">
        <v>14</v>
      </c>
      <c r="P177" s="30">
        <v>0.6</v>
      </c>
    </row>
    <row r="178" spans="1:16" ht="18" customHeight="1" x14ac:dyDescent="0.25">
      <c r="B178" s="61" t="s">
        <v>189</v>
      </c>
      <c r="C178" s="71" t="s">
        <v>222</v>
      </c>
      <c r="D178" s="123">
        <v>100</v>
      </c>
      <c r="E178" s="30">
        <v>0.8</v>
      </c>
      <c r="F178" s="30">
        <v>0.1</v>
      </c>
      <c r="G178" s="30">
        <v>1.7</v>
      </c>
      <c r="H178" s="30">
        <v>10.9</v>
      </c>
      <c r="I178" s="30">
        <v>0.02</v>
      </c>
      <c r="J178" s="30">
        <v>5</v>
      </c>
      <c r="K178" s="30">
        <v>0</v>
      </c>
      <c r="L178" s="30">
        <v>0.1</v>
      </c>
      <c r="M178" s="30">
        <v>23</v>
      </c>
      <c r="N178" s="30">
        <v>24</v>
      </c>
      <c r="O178" s="30">
        <v>14</v>
      </c>
      <c r="P178" s="30">
        <v>0.6</v>
      </c>
    </row>
    <row r="179" spans="1:16" ht="18" customHeight="1" x14ac:dyDescent="0.25">
      <c r="B179" s="63"/>
      <c r="C179" s="71" t="s">
        <v>172</v>
      </c>
      <c r="D179" s="49"/>
      <c r="E179" s="30">
        <f>SUM(E177:E178)/2</f>
        <v>0.8</v>
      </c>
      <c r="F179" s="30">
        <f t="shared" ref="F179:P179" si="32">SUM(F177:F178)/2</f>
        <v>0.1</v>
      </c>
      <c r="G179" s="30">
        <f t="shared" si="32"/>
        <v>2.1</v>
      </c>
      <c r="H179" s="30">
        <f t="shared" si="32"/>
        <v>12.5</v>
      </c>
      <c r="I179" s="30">
        <f t="shared" si="32"/>
        <v>0.01</v>
      </c>
      <c r="J179" s="30">
        <f t="shared" si="32"/>
        <v>7.5</v>
      </c>
      <c r="K179" s="30">
        <f t="shared" si="32"/>
        <v>0</v>
      </c>
      <c r="L179" s="30">
        <f t="shared" si="32"/>
        <v>0.05</v>
      </c>
      <c r="M179" s="30">
        <f t="shared" si="32"/>
        <v>23.15</v>
      </c>
      <c r="N179" s="30">
        <f t="shared" si="32"/>
        <v>32.799999999999997</v>
      </c>
      <c r="O179" s="30">
        <f t="shared" si="32"/>
        <v>14</v>
      </c>
      <c r="P179" s="30">
        <f t="shared" si="32"/>
        <v>0.6</v>
      </c>
    </row>
    <row r="180" spans="1:16" ht="20.100000000000001" customHeight="1" x14ac:dyDescent="0.25">
      <c r="B180" s="72" t="s">
        <v>318</v>
      </c>
      <c r="C180" s="71" t="s">
        <v>50</v>
      </c>
      <c r="D180" s="123">
        <v>250</v>
      </c>
      <c r="E180" s="30">
        <v>5.5</v>
      </c>
      <c r="F180" s="30">
        <v>5.25</v>
      </c>
      <c r="G180" s="30">
        <v>16.5</v>
      </c>
      <c r="H180" s="30">
        <v>135.25</v>
      </c>
      <c r="I180" s="30">
        <v>0</v>
      </c>
      <c r="J180" s="30">
        <v>0.25</v>
      </c>
      <c r="K180" s="30">
        <v>5.75</v>
      </c>
      <c r="L180" s="30">
        <v>2.5</v>
      </c>
      <c r="M180" s="30">
        <v>42.75</v>
      </c>
      <c r="N180" s="30">
        <v>35.5</v>
      </c>
      <c r="O180" s="30">
        <v>88</v>
      </c>
      <c r="P180" s="30">
        <v>2</v>
      </c>
    </row>
    <row r="181" spans="1:16" ht="21" customHeight="1" x14ac:dyDescent="0.25">
      <c r="B181" s="63" t="s">
        <v>170</v>
      </c>
      <c r="C181" s="50" t="s">
        <v>159</v>
      </c>
      <c r="D181" s="49" t="s">
        <v>308</v>
      </c>
      <c r="E181" s="30">
        <v>13.8</v>
      </c>
      <c r="F181" s="30">
        <v>22.54</v>
      </c>
      <c r="G181" s="30">
        <v>30.36</v>
      </c>
      <c r="H181" s="30">
        <v>344.54</v>
      </c>
      <c r="I181" s="30">
        <v>0</v>
      </c>
      <c r="J181" s="30">
        <v>0.69</v>
      </c>
      <c r="K181" s="30">
        <v>2.0699999999999998</v>
      </c>
      <c r="L181" s="30">
        <v>4.1399999999999997</v>
      </c>
      <c r="M181" s="30">
        <v>19.090000000000003</v>
      </c>
      <c r="N181" s="30">
        <v>60.72</v>
      </c>
      <c r="O181" s="30">
        <v>267.72000000000003</v>
      </c>
      <c r="P181" s="30">
        <v>2.76</v>
      </c>
    </row>
    <row r="182" spans="1:16" ht="18" customHeight="1" x14ac:dyDescent="0.25">
      <c r="A182" s="27">
        <v>6</v>
      </c>
      <c r="B182" s="63" t="s">
        <v>181</v>
      </c>
      <c r="C182" s="50" t="s">
        <v>57</v>
      </c>
      <c r="D182" s="49">
        <v>200</v>
      </c>
      <c r="E182" s="30">
        <v>0.28000000000000003</v>
      </c>
      <c r="F182" s="30">
        <v>0.1</v>
      </c>
      <c r="G182" s="30">
        <v>28.88</v>
      </c>
      <c r="H182" s="30">
        <v>117.54</v>
      </c>
      <c r="I182" s="30">
        <v>0</v>
      </c>
      <c r="J182" s="30">
        <v>19.3</v>
      </c>
      <c r="K182" s="30">
        <v>0</v>
      </c>
      <c r="L182" s="30">
        <v>0.16</v>
      </c>
      <c r="M182" s="30">
        <v>13.66</v>
      </c>
      <c r="N182" s="30">
        <v>7.38</v>
      </c>
      <c r="O182" s="30">
        <v>5.78</v>
      </c>
      <c r="P182" s="30">
        <v>0.46800000000000003</v>
      </c>
    </row>
    <row r="183" spans="1:16" ht="19.5" customHeight="1" x14ac:dyDescent="0.25">
      <c r="A183" s="27">
        <v>6</v>
      </c>
      <c r="B183" s="122" t="s">
        <v>182</v>
      </c>
      <c r="C183" s="71" t="s">
        <v>20</v>
      </c>
      <c r="D183" s="123">
        <v>40</v>
      </c>
      <c r="E183" s="30">
        <v>3.0666666666666664</v>
      </c>
      <c r="F183" s="30">
        <v>0.26666666666666672</v>
      </c>
      <c r="G183" s="30">
        <v>19.733333333333334</v>
      </c>
      <c r="H183" s="30">
        <v>94</v>
      </c>
      <c r="I183" s="30">
        <v>0</v>
      </c>
      <c r="J183" s="30">
        <v>0</v>
      </c>
      <c r="K183" s="30">
        <v>0</v>
      </c>
      <c r="L183" s="30">
        <v>0.4</v>
      </c>
      <c r="M183" s="30">
        <v>8</v>
      </c>
      <c r="N183" s="30">
        <v>26</v>
      </c>
      <c r="O183" s="30">
        <v>5.6000000000000014</v>
      </c>
      <c r="P183" s="30">
        <v>0.4</v>
      </c>
    </row>
    <row r="184" spans="1:16" ht="20.100000000000001" customHeight="1" x14ac:dyDescent="0.25">
      <c r="A184" s="27">
        <v>6</v>
      </c>
      <c r="B184" s="122" t="s">
        <v>191</v>
      </c>
      <c r="C184" s="71" t="s">
        <v>21</v>
      </c>
      <c r="D184" s="123">
        <v>50</v>
      </c>
      <c r="E184" s="30">
        <v>3.25</v>
      </c>
      <c r="F184" s="30">
        <v>0.625</v>
      </c>
      <c r="G184" s="30">
        <v>19.75</v>
      </c>
      <c r="H184" s="30">
        <v>99</v>
      </c>
      <c r="I184" s="30">
        <v>0.125</v>
      </c>
      <c r="J184" s="30">
        <v>0</v>
      </c>
      <c r="K184" s="30">
        <v>0</v>
      </c>
      <c r="L184" s="30">
        <v>0.75</v>
      </c>
      <c r="M184" s="30">
        <v>14.499999999999998</v>
      </c>
      <c r="N184" s="30">
        <v>75</v>
      </c>
      <c r="O184" s="30">
        <v>23.5</v>
      </c>
      <c r="P184" s="30">
        <v>2</v>
      </c>
    </row>
    <row r="185" spans="1:16" ht="20.100000000000001" hidden="1" customHeight="1" x14ac:dyDescent="0.25">
      <c r="A185" s="27">
        <v>6</v>
      </c>
      <c r="B185" s="43"/>
      <c r="C185" s="43"/>
      <c r="D185" s="43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</row>
    <row r="186" spans="1:16" ht="20.100000000000001" hidden="1" customHeight="1" x14ac:dyDescent="0.25">
      <c r="A186" s="27">
        <v>6</v>
      </c>
      <c r="B186" s="43"/>
      <c r="C186" s="43"/>
      <c r="D186" s="6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</row>
    <row r="187" spans="1:16" ht="20.100000000000001" hidden="1" customHeight="1" x14ac:dyDescent="0.25">
      <c r="A187" s="27">
        <v>6</v>
      </c>
      <c r="B187" s="66"/>
      <c r="C187" s="40"/>
      <c r="D187" s="6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ht="17.45" customHeight="1" x14ac:dyDescent="0.25">
      <c r="A188" s="27">
        <v>6</v>
      </c>
      <c r="B188" s="114"/>
      <c r="C188" s="114" t="s">
        <v>18</v>
      </c>
      <c r="D188" s="115"/>
      <c r="E188" s="114">
        <f>SUM(E179:E187)</f>
        <v>26.696666666666669</v>
      </c>
      <c r="F188" s="114">
        <f t="shared" ref="F188:P188" si="33">SUM(F179:F187)</f>
        <v>28.881666666666668</v>
      </c>
      <c r="G188" s="114">
        <f t="shared" si="33"/>
        <v>117.32333333333334</v>
      </c>
      <c r="H188" s="114">
        <f t="shared" si="33"/>
        <v>802.83</v>
      </c>
      <c r="I188" s="114">
        <f t="shared" si="33"/>
        <v>0.13500000000000001</v>
      </c>
      <c r="J188" s="114">
        <f t="shared" si="33"/>
        <v>27.740000000000002</v>
      </c>
      <c r="K188" s="114">
        <f t="shared" si="33"/>
        <v>7.82</v>
      </c>
      <c r="L188" s="114">
        <f t="shared" si="33"/>
        <v>8</v>
      </c>
      <c r="M188" s="114">
        <f t="shared" si="33"/>
        <v>121.15</v>
      </c>
      <c r="N188" s="114">
        <f t="shared" si="33"/>
        <v>237.39999999999998</v>
      </c>
      <c r="O188" s="114">
        <f t="shared" si="33"/>
        <v>404.6</v>
      </c>
      <c r="P188" s="114">
        <f t="shared" si="33"/>
        <v>8.2279999999999998</v>
      </c>
    </row>
    <row r="189" spans="1:16" ht="19.5" customHeight="1" x14ac:dyDescent="0.25">
      <c r="A189" s="27">
        <v>6</v>
      </c>
      <c r="B189" s="132" t="s">
        <v>22</v>
      </c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</row>
    <row r="190" spans="1:16" ht="18.75" customHeight="1" x14ac:dyDescent="0.25">
      <c r="A190" s="27">
        <v>6</v>
      </c>
      <c r="B190" s="122" t="s">
        <v>167</v>
      </c>
      <c r="C190" s="71" t="s">
        <v>52</v>
      </c>
      <c r="D190" s="72">
        <v>200</v>
      </c>
      <c r="E190" s="30">
        <v>19.399999999999999</v>
      </c>
      <c r="F190" s="30">
        <v>14.4</v>
      </c>
      <c r="G190" s="30">
        <v>6.2</v>
      </c>
      <c r="H190" s="30">
        <v>232</v>
      </c>
      <c r="I190" s="30">
        <v>0.16</v>
      </c>
      <c r="J190" s="30">
        <v>0.8</v>
      </c>
      <c r="K190" s="30">
        <v>0.52</v>
      </c>
      <c r="L190" s="30">
        <v>1</v>
      </c>
      <c r="M190" s="30">
        <v>288</v>
      </c>
      <c r="N190" s="30">
        <v>538</v>
      </c>
      <c r="O190" s="30">
        <v>44</v>
      </c>
      <c r="P190" s="30">
        <v>5.6</v>
      </c>
    </row>
    <row r="191" spans="1:16" ht="18.75" customHeight="1" x14ac:dyDescent="0.25">
      <c r="B191" s="73" t="s">
        <v>182</v>
      </c>
      <c r="C191" s="37" t="s">
        <v>20</v>
      </c>
      <c r="D191" s="67">
        <v>20</v>
      </c>
      <c r="E191" s="30">
        <v>1.5333333333333332</v>
      </c>
      <c r="F191" s="30">
        <v>0.13333333333333336</v>
      </c>
      <c r="G191" s="30">
        <v>9.8666666666666671</v>
      </c>
      <c r="H191" s="30">
        <v>46.8</v>
      </c>
      <c r="I191" s="30">
        <v>0</v>
      </c>
      <c r="J191" s="30">
        <v>0</v>
      </c>
      <c r="K191" s="30">
        <v>0</v>
      </c>
      <c r="L191" s="30">
        <v>0.2</v>
      </c>
      <c r="M191" s="30">
        <v>4</v>
      </c>
      <c r="N191" s="30">
        <v>13</v>
      </c>
      <c r="O191" s="30">
        <v>2.8000000000000007</v>
      </c>
      <c r="P191" s="30">
        <v>0.2</v>
      </c>
    </row>
    <row r="192" spans="1:16" ht="18.75" customHeight="1" x14ac:dyDescent="0.25">
      <c r="B192" s="118" t="s">
        <v>173</v>
      </c>
      <c r="C192" s="71" t="s">
        <v>51</v>
      </c>
      <c r="D192" s="119">
        <v>200</v>
      </c>
      <c r="E192" s="30">
        <v>0.16</v>
      </c>
      <c r="F192" s="30">
        <v>0.16</v>
      </c>
      <c r="G192" s="30">
        <v>19.88</v>
      </c>
      <c r="H192" s="30">
        <v>81.599999999999994</v>
      </c>
      <c r="I192" s="30">
        <v>0.02</v>
      </c>
      <c r="J192" s="30">
        <v>0.9</v>
      </c>
      <c r="K192" s="30">
        <v>0</v>
      </c>
      <c r="L192" s="30">
        <v>0.08</v>
      </c>
      <c r="M192" s="30">
        <v>13.94</v>
      </c>
      <c r="N192" s="30">
        <v>4.4000000000000004</v>
      </c>
      <c r="O192" s="30">
        <v>5.14</v>
      </c>
      <c r="P192" s="30">
        <v>0.93600000000000005</v>
      </c>
    </row>
    <row r="193" spans="1:16" ht="18.75" customHeight="1" x14ac:dyDescent="0.25">
      <c r="A193" s="27">
        <v>6</v>
      </c>
      <c r="B193" s="114"/>
      <c r="C193" s="114" t="s">
        <v>18</v>
      </c>
      <c r="D193" s="115"/>
      <c r="E193" s="114">
        <f>SUM(E190:E192)</f>
        <v>21.09333333333333</v>
      </c>
      <c r="F193" s="114">
        <f t="shared" ref="F193:P193" si="34">SUM(F190:F192)</f>
        <v>14.693333333333333</v>
      </c>
      <c r="G193" s="114">
        <f t="shared" si="34"/>
        <v>35.946666666666665</v>
      </c>
      <c r="H193" s="114">
        <f t="shared" si="34"/>
        <v>360.4</v>
      </c>
      <c r="I193" s="114">
        <f t="shared" si="34"/>
        <v>0.18</v>
      </c>
      <c r="J193" s="114">
        <f t="shared" si="34"/>
        <v>1.7000000000000002</v>
      </c>
      <c r="K193" s="114">
        <f t="shared" si="34"/>
        <v>0.52</v>
      </c>
      <c r="L193" s="114">
        <f t="shared" si="34"/>
        <v>1.28</v>
      </c>
      <c r="M193" s="114">
        <f t="shared" si="34"/>
        <v>305.94</v>
      </c>
      <c r="N193" s="114">
        <f t="shared" si="34"/>
        <v>555.4</v>
      </c>
      <c r="O193" s="114">
        <f t="shared" si="34"/>
        <v>51.94</v>
      </c>
      <c r="P193" s="114">
        <f t="shared" si="34"/>
        <v>6.7359999999999998</v>
      </c>
    </row>
    <row r="194" spans="1:16" ht="21.75" customHeight="1" x14ac:dyDescent="0.25">
      <c r="A194" s="27">
        <v>6</v>
      </c>
      <c r="B194" s="66"/>
      <c r="C194" s="66" t="s">
        <v>31</v>
      </c>
      <c r="D194" s="67"/>
      <c r="E194" s="66">
        <f>SUM(E175+E188+E193)</f>
        <v>67.569999999999993</v>
      </c>
      <c r="F194" s="118">
        <f t="shared" ref="F194:P194" si="35">SUM(F175+F188+F193)</f>
        <v>64.094999999999999</v>
      </c>
      <c r="G194" s="118">
        <f t="shared" si="35"/>
        <v>235.41</v>
      </c>
      <c r="H194" s="118">
        <f t="shared" si="35"/>
        <v>1755.5900000000001</v>
      </c>
      <c r="I194" s="118">
        <f t="shared" si="35"/>
        <v>0.499</v>
      </c>
      <c r="J194" s="118">
        <f t="shared" si="35"/>
        <v>30.994</v>
      </c>
      <c r="K194" s="118">
        <f t="shared" si="35"/>
        <v>8.86</v>
      </c>
      <c r="L194" s="118">
        <f t="shared" si="35"/>
        <v>12.84</v>
      </c>
      <c r="M194" s="118">
        <f t="shared" si="35"/>
        <v>864.61000000000013</v>
      </c>
      <c r="N194" s="118">
        <f t="shared" si="35"/>
        <v>1128.2599999999998</v>
      </c>
      <c r="O194" s="118">
        <f t="shared" si="35"/>
        <v>504.38000000000005</v>
      </c>
      <c r="P194" s="118">
        <f t="shared" si="35"/>
        <v>16.864000000000001</v>
      </c>
    </row>
    <row r="195" spans="1:16" s="36" customFormat="1" ht="20.100000000000001" customHeight="1" x14ac:dyDescent="0.3">
      <c r="B195" s="41"/>
      <c r="C195" s="41"/>
      <c r="D195" s="46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</row>
    <row r="196" spans="1:16" s="36" customFormat="1" ht="20.100000000000001" customHeight="1" x14ac:dyDescent="0.3">
      <c r="B196" s="39" t="s">
        <v>121</v>
      </c>
      <c r="C196" s="38"/>
      <c r="D196" s="46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</row>
    <row r="197" spans="1:16" s="36" customFormat="1" ht="20.100000000000001" customHeight="1" x14ac:dyDescent="0.3">
      <c r="B197" s="39" t="s">
        <v>120</v>
      </c>
      <c r="C197" s="38"/>
      <c r="D197" s="46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</row>
    <row r="198" spans="1:16" s="36" customFormat="1" ht="20.100000000000001" customHeight="1" x14ac:dyDescent="0.3">
      <c r="B198" s="39" t="s">
        <v>306</v>
      </c>
      <c r="C198" s="38"/>
      <c r="D198" s="46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</row>
    <row r="199" spans="1:16" s="36" customFormat="1" ht="32.25" customHeight="1" x14ac:dyDescent="0.3">
      <c r="B199" s="134" t="s">
        <v>0</v>
      </c>
      <c r="C199" s="134" t="s">
        <v>1</v>
      </c>
      <c r="D199" s="135" t="s">
        <v>2</v>
      </c>
      <c r="E199" s="132" t="s">
        <v>3</v>
      </c>
      <c r="F199" s="132"/>
      <c r="G199" s="132"/>
      <c r="H199" s="132" t="s">
        <v>4</v>
      </c>
      <c r="I199" s="132" t="s">
        <v>5</v>
      </c>
      <c r="J199" s="132"/>
      <c r="K199" s="132"/>
      <c r="L199" s="132"/>
      <c r="M199" s="132" t="s">
        <v>6</v>
      </c>
      <c r="N199" s="132"/>
      <c r="O199" s="132"/>
      <c r="P199" s="132"/>
    </row>
    <row r="200" spans="1:16" s="36" customFormat="1" ht="27" customHeight="1" x14ac:dyDescent="0.3">
      <c r="B200" s="134"/>
      <c r="C200" s="134"/>
      <c r="D200" s="135"/>
      <c r="E200" s="66" t="s">
        <v>7</v>
      </c>
      <c r="F200" s="66" t="s">
        <v>8</v>
      </c>
      <c r="G200" s="66" t="s">
        <v>9</v>
      </c>
      <c r="H200" s="132"/>
      <c r="I200" s="66" t="s">
        <v>114</v>
      </c>
      <c r="J200" s="66" t="s">
        <v>10</v>
      </c>
      <c r="K200" s="66" t="s">
        <v>11</v>
      </c>
      <c r="L200" s="66" t="s">
        <v>12</v>
      </c>
      <c r="M200" s="66" t="s">
        <v>13</v>
      </c>
      <c r="N200" s="66" t="s">
        <v>14</v>
      </c>
      <c r="O200" s="66" t="s">
        <v>15</v>
      </c>
      <c r="P200" s="66" t="s">
        <v>16</v>
      </c>
    </row>
    <row r="201" spans="1:16" ht="23.25" customHeight="1" x14ac:dyDescent="0.25">
      <c r="A201" s="27">
        <v>7</v>
      </c>
      <c r="B201" s="132" t="s">
        <v>17</v>
      </c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</row>
    <row r="202" spans="1:16" ht="43.5" customHeight="1" x14ac:dyDescent="0.25">
      <c r="A202" s="27">
        <v>7</v>
      </c>
      <c r="B202" s="72" t="s">
        <v>212</v>
      </c>
      <c r="C202" s="71" t="s">
        <v>231</v>
      </c>
      <c r="D202" s="123" t="s">
        <v>307</v>
      </c>
      <c r="E202" s="69">
        <v>6</v>
      </c>
      <c r="F202" s="69">
        <v>9.3000000000000007</v>
      </c>
      <c r="G202" s="69">
        <v>17.850000000000001</v>
      </c>
      <c r="H202" s="69">
        <v>179.1</v>
      </c>
      <c r="I202" s="69">
        <v>0.18</v>
      </c>
      <c r="J202" s="69">
        <v>4.8</v>
      </c>
      <c r="K202" s="69">
        <v>0.3</v>
      </c>
      <c r="L202" s="69">
        <v>1.905</v>
      </c>
      <c r="M202" s="69">
        <v>148.5</v>
      </c>
      <c r="N202" s="69">
        <v>227.05500000000001</v>
      </c>
      <c r="O202" s="69">
        <v>66.674999999999997</v>
      </c>
      <c r="P202" s="69">
        <v>1.605</v>
      </c>
    </row>
    <row r="203" spans="1:16" s="68" customFormat="1" ht="18" customHeight="1" x14ac:dyDescent="0.25">
      <c r="B203" s="72" t="s">
        <v>196</v>
      </c>
      <c r="C203" s="71" t="s">
        <v>214</v>
      </c>
      <c r="D203" s="123">
        <v>200</v>
      </c>
      <c r="E203" s="69">
        <v>7</v>
      </c>
      <c r="F203" s="69">
        <v>16.600000000000001</v>
      </c>
      <c r="G203" s="69">
        <v>98</v>
      </c>
      <c r="H203" s="69">
        <v>460</v>
      </c>
      <c r="I203" s="69">
        <v>0.26</v>
      </c>
      <c r="J203" s="69">
        <v>0</v>
      </c>
      <c r="K203" s="69">
        <v>0</v>
      </c>
      <c r="L203" s="69">
        <v>3.4</v>
      </c>
      <c r="M203" s="69">
        <v>14</v>
      </c>
      <c r="N203" s="69">
        <v>126</v>
      </c>
      <c r="O203" s="69">
        <v>50</v>
      </c>
      <c r="P203" s="69">
        <v>2.8</v>
      </c>
    </row>
    <row r="204" spans="1:16" ht="18" customHeight="1" x14ac:dyDescent="0.25">
      <c r="A204" s="27">
        <v>7</v>
      </c>
      <c r="B204" s="61"/>
      <c r="C204" s="71" t="s">
        <v>172</v>
      </c>
      <c r="D204" s="111"/>
      <c r="E204" s="69">
        <f>SUM(E202:E203)/2</f>
        <v>6.5</v>
      </c>
      <c r="F204" s="69">
        <f t="shared" ref="F204:P204" si="36">SUM(F202:F203)/2</f>
        <v>12.950000000000001</v>
      </c>
      <c r="G204" s="69">
        <f t="shared" si="36"/>
        <v>57.924999999999997</v>
      </c>
      <c r="H204" s="69">
        <f t="shared" si="36"/>
        <v>319.55</v>
      </c>
      <c r="I204" s="69">
        <f t="shared" si="36"/>
        <v>0.22</v>
      </c>
      <c r="J204" s="69">
        <f t="shared" si="36"/>
        <v>2.4</v>
      </c>
      <c r="K204" s="69">
        <f t="shared" si="36"/>
        <v>0.15</v>
      </c>
      <c r="L204" s="69">
        <f t="shared" si="36"/>
        <v>2.6524999999999999</v>
      </c>
      <c r="M204" s="69">
        <f t="shared" si="36"/>
        <v>81.25</v>
      </c>
      <c r="N204" s="69">
        <f t="shared" si="36"/>
        <v>176.5275</v>
      </c>
      <c r="O204" s="69">
        <f t="shared" si="36"/>
        <v>58.337499999999999</v>
      </c>
      <c r="P204" s="69">
        <f t="shared" si="36"/>
        <v>2.2024999999999997</v>
      </c>
    </row>
    <row r="205" spans="1:16" ht="17.45" customHeight="1" x14ac:dyDescent="0.25">
      <c r="A205" s="27">
        <v>7</v>
      </c>
      <c r="B205" s="61"/>
      <c r="C205" s="71" t="s">
        <v>243</v>
      </c>
      <c r="D205" s="111">
        <v>100</v>
      </c>
      <c r="E205" s="69">
        <v>5.6</v>
      </c>
      <c r="F205" s="69">
        <v>5</v>
      </c>
      <c r="G205" s="69">
        <v>18.8</v>
      </c>
      <c r="H205" s="69">
        <v>140</v>
      </c>
      <c r="I205" s="69">
        <v>0</v>
      </c>
      <c r="J205" s="69">
        <v>0</v>
      </c>
      <c r="K205" s="69">
        <v>0</v>
      </c>
      <c r="L205" s="69">
        <v>0</v>
      </c>
      <c r="M205" s="69">
        <v>0</v>
      </c>
      <c r="N205" s="69">
        <v>0</v>
      </c>
      <c r="O205" s="69">
        <v>0</v>
      </c>
      <c r="P205" s="69">
        <v>0</v>
      </c>
    </row>
    <row r="206" spans="1:16" s="68" customFormat="1" ht="17.45" customHeight="1" x14ac:dyDescent="0.25">
      <c r="B206" s="61"/>
      <c r="C206" s="71" t="s">
        <v>244</v>
      </c>
      <c r="D206" s="111">
        <v>25</v>
      </c>
      <c r="E206" s="69">
        <v>2.875</v>
      </c>
      <c r="F206" s="69">
        <v>0.72499999999999998</v>
      </c>
      <c r="G206" s="69">
        <v>0.23</v>
      </c>
      <c r="H206" s="69">
        <v>15.9375</v>
      </c>
      <c r="I206" s="69">
        <v>0.03</v>
      </c>
      <c r="J206" s="69">
        <v>0.8</v>
      </c>
      <c r="K206" s="69">
        <v>0.05</v>
      </c>
      <c r="L206" s="69">
        <v>0.3175</v>
      </c>
      <c r="M206" s="69">
        <v>24.75</v>
      </c>
      <c r="N206" s="69">
        <v>37.842500000000001</v>
      </c>
      <c r="O206" s="69">
        <v>11.112500000000001</v>
      </c>
      <c r="P206" s="69">
        <v>0.26750000000000002</v>
      </c>
    </row>
    <row r="207" spans="1:16" s="68" customFormat="1" ht="17.45" customHeight="1" x14ac:dyDescent="0.25">
      <c r="B207" s="61"/>
      <c r="C207" s="71" t="s">
        <v>172</v>
      </c>
      <c r="D207" s="111"/>
      <c r="E207" s="69">
        <f>SUM(E205:E206)/2</f>
        <v>4.2374999999999998</v>
      </c>
      <c r="F207" s="69">
        <f t="shared" ref="F207:P207" si="37">SUM(F205:F206)/2</f>
        <v>2.8624999999999998</v>
      </c>
      <c r="G207" s="69">
        <f t="shared" si="37"/>
        <v>9.5150000000000006</v>
      </c>
      <c r="H207" s="69">
        <f t="shared" si="37"/>
        <v>77.96875</v>
      </c>
      <c r="I207" s="69">
        <f t="shared" si="37"/>
        <v>1.4999999999999999E-2</v>
      </c>
      <c r="J207" s="69">
        <f t="shared" si="37"/>
        <v>0.4</v>
      </c>
      <c r="K207" s="69">
        <f t="shared" si="37"/>
        <v>2.5000000000000001E-2</v>
      </c>
      <c r="L207" s="69">
        <f t="shared" si="37"/>
        <v>0.15875</v>
      </c>
      <c r="M207" s="69">
        <f t="shared" si="37"/>
        <v>12.375</v>
      </c>
      <c r="N207" s="69">
        <f t="shared" si="37"/>
        <v>18.921250000000001</v>
      </c>
      <c r="O207" s="69">
        <f t="shared" si="37"/>
        <v>5.5562500000000004</v>
      </c>
      <c r="P207" s="69">
        <f t="shared" si="37"/>
        <v>0.13375000000000001</v>
      </c>
    </row>
    <row r="208" spans="1:16" s="68" customFormat="1" ht="20.100000000000001" customHeight="1" x14ac:dyDescent="0.25">
      <c r="B208" s="61" t="s">
        <v>228</v>
      </c>
      <c r="C208" s="71" t="s">
        <v>229</v>
      </c>
      <c r="D208" s="111">
        <v>20</v>
      </c>
      <c r="E208" s="69">
        <v>4.6399999999999997</v>
      </c>
      <c r="F208" s="69">
        <v>5.9</v>
      </c>
      <c r="G208" s="69">
        <v>0</v>
      </c>
      <c r="H208" s="69">
        <v>71.66</v>
      </c>
      <c r="I208" s="69">
        <v>0</v>
      </c>
      <c r="J208" s="69">
        <v>0.14000000000000001</v>
      </c>
      <c r="K208" s="69">
        <v>5.2000000000000005E-2</v>
      </c>
      <c r="L208" s="69">
        <v>0.1</v>
      </c>
      <c r="M208" s="69">
        <v>176</v>
      </c>
      <c r="N208" s="69">
        <v>100</v>
      </c>
      <c r="O208" s="69">
        <v>7</v>
      </c>
      <c r="P208" s="69">
        <v>0.2</v>
      </c>
    </row>
    <row r="209" spans="1:16" s="68" customFormat="1" ht="20.100000000000001" customHeight="1" x14ac:dyDescent="0.25">
      <c r="B209" s="61" t="s">
        <v>187</v>
      </c>
      <c r="C209" s="71" t="s">
        <v>24</v>
      </c>
      <c r="D209" s="123">
        <v>30</v>
      </c>
      <c r="E209" s="69">
        <v>1.6</v>
      </c>
      <c r="F209" s="69">
        <v>0.05</v>
      </c>
      <c r="G209" s="69">
        <v>10.6</v>
      </c>
      <c r="H209" s="69">
        <v>54</v>
      </c>
      <c r="I209" s="69">
        <v>0.04</v>
      </c>
      <c r="J209" s="69">
        <v>0.8</v>
      </c>
      <c r="K209" s="69">
        <v>0</v>
      </c>
      <c r="L209" s="69">
        <v>0</v>
      </c>
      <c r="M209" s="69">
        <v>7.6</v>
      </c>
      <c r="N209" s="69">
        <v>26</v>
      </c>
      <c r="O209" s="69">
        <v>5.2</v>
      </c>
      <c r="P209" s="69">
        <v>0.5</v>
      </c>
    </row>
    <row r="210" spans="1:16" s="68" customFormat="1" ht="18.600000000000001" customHeight="1" x14ac:dyDescent="0.25">
      <c r="B210" s="61" t="s">
        <v>275</v>
      </c>
      <c r="C210" s="71" t="s">
        <v>26</v>
      </c>
      <c r="D210" s="111" t="s">
        <v>127</v>
      </c>
      <c r="E210" s="69">
        <v>0.08</v>
      </c>
      <c r="F210" s="69">
        <v>0.02</v>
      </c>
      <c r="G210" s="69">
        <v>15</v>
      </c>
      <c r="H210" s="69">
        <v>60.5</v>
      </c>
      <c r="I210" s="69">
        <v>0</v>
      </c>
      <c r="J210" s="69">
        <v>0.04</v>
      </c>
      <c r="K210" s="69">
        <v>0</v>
      </c>
      <c r="L210" s="69">
        <v>0</v>
      </c>
      <c r="M210" s="69">
        <v>11.1</v>
      </c>
      <c r="N210" s="69">
        <v>2.8</v>
      </c>
      <c r="O210" s="69">
        <v>1.4</v>
      </c>
      <c r="P210" s="69">
        <v>0.28000000000000003</v>
      </c>
    </row>
    <row r="211" spans="1:16" s="68" customFormat="1" ht="20.100000000000001" customHeight="1" x14ac:dyDescent="0.25">
      <c r="B211" s="61" t="s">
        <v>157</v>
      </c>
      <c r="C211" s="71" t="s">
        <v>158</v>
      </c>
      <c r="D211" s="119" t="s">
        <v>126</v>
      </c>
      <c r="E211" s="69">
        <v>0.14000000000000001</v>
      </c>
      <c r="F211" s="69">
        <v>0.02</v>
      </c>
      <c r="G211" s="69">
        <v>15.2</v>
      </c>
      <c r="H211" s="69">
        <v>61.54</v>
      </c>
      <c r="I211" s="69">
        <v>0</v>
      </c>
      <c r="J211" s="69">
        <v>2.84</v>
      </c>
      <c r="K211" s="69">
        <v>0</v>
      </c>
      <c r="L211" s="69">
        <v>0.02</v>
      </c>
      <c r="M211" s="69">
        <v>14.2</v>
      </c>
      <c r="N211" s="69">
        <v>4.4000000000000004</v>
      </c>
      <c r="O211" s="69">
        <v>2.4</v>
      </c>
      <c r="P211" s="69">
        <v>0.36</v>
      </c>
    </row>
    <row r="212" spans="1:16" s="68" customFormat="1" ht="20.100000000000001" customHeight="1" x14ac:dyDescent="0.25">
      <c r="B212" s="61"/>
      <c r="C212" s="71" t="s">
        <v>172</v>
      </c>
      <c r="D212" s="119"/>
      <c r="E212" s="69">
        <f>SUM(E210:E211)/2</f>
        <v>0.11000000000000001</v>
      </c>
      <c r="F212" s="69">
        <f t="shared" ref="F212:P212" si="38">SUM(F210:F211)/2</f>
        <v>0.02</v>
      </c>
      <c r="G212" s="69">
        <f t="shared" si="38"/>
        <v>15.1</v>
      </c>
      <c r="H212" s="69">
        <f t="shared" si="38"/>
        <v>61.019999999999996</v>
      </c>
      <c r="I212" s="69">
        <f t="shared" si="38"/>
        <v>0</v>
      </c>
      <c r="J212" s="69">
        <f t="shared" si="38"/>
        <v>1.44</v>
      </c>
      <c r="K212" s="69">
        <f t="shared" si="38"/>
        <v>0</v>
      </c>
      <c r="L212" s="69">
        <f t="shared" si="38"/>
        <v>0.01</v>
      </c>
      <c r="M212" s="69">
        <f t="shared" si="38"/>
        <v>12.649999999999999</v>
      </c>
      <c r="N212" s="69">
        <f t="shared" si="38"/>
        <v>3.6</v>
      </c>
      <c r="O212" s="69">
        <f t="shared" si="38"/>
        <v>1.9</v>
      </c>
      <c r="P212" s="69">
        <f t="shared" si="38"/>
        <v>0.32</v>
      </c>
    </row>
    <row r="213" spans="1:16" ht="20.100000000000001" customHeight="1" x14ac:dyDescent="0.25">
      <c r="A213" s="27">
        <v>7</v>
      </c>
      <c r="B213" s="114"/>
      <c r="C213" s="114" t="s">
        <v>18</v>
      </c>
      <c r="D213" s="115"/>
      <c r="E213" s="114">
        <f>SUM(E204+E207+E208+E209+E212)</f>
        <v>17.087500000000002</v>
      </c>
      <c r="F213" s="114">
        <f t="shared" ref="F213:P213" si="39">SUM(F204+F207+F208+F209+F212)</f>
        <v>21.782499999999999</v>
      </c>
      <c r="G213" s="114">
        <f t="shared" si="39"/>
        <v>93.139999999999986</v>
      </c>
      <c r="H213" s="114">
        <f t="shared" si="39"/>
        <v>584.19875000000002</v>
      </c>
      <c r="I213" s="114">
        <f t="shared" si="39"/>
        <v>0.27499999999999997</v>
      </c>
      <c r="J213" s="114">
        <f t="shared" si="39"/>
        <v>5.18</v>
      </c>
      <c r="K213" s="114">
        <f t="shared" si="39"/>
        <v>0.22699999999999998</v>
      </c>
      <c r="L213" s="114">
        <f t="shared" si="39"/>
        <v>2.9212499999999997</v>
      </c>
      <c r="M213" s="114">
        <f t="shared" si="39"/>
        <v>289.875</v>
      </c>
      <c r="N213" s="114">
        <f t="shared" si="39"/>
        <v>325.04875000000004</v>
      </c>
      <c r="O213" s="114">
        <f t="shared" si="39"/>
        <v>77.993750000000006</v>
      </c>
      <c r="P213" s="114">
        <f t="shared" si="39"/>
        <v>3.3562499999999997</v>
      </c>
    </row>
    <row r="214" spans="1:16" ht="16.149999999999999" customHeight="1" x14ac:dyDescent="0.25">
      <c r="A214" s="27">
        <v>7</v>
      </c>
      <c r="B214" s="132" t="s">
        <v>19</v>
      </c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</row>
    <row r="215" spans="1:16" ht="42" customHeight="1" x14ac:dyDescent="0.25">
      <c r="A215" s="27">
        <v>7</v>
      </c>
      <c r="B215" s="122" t="s">
        <v>200</v>
      </c>
      <c r="C215" s="71" t="s">
        <v>236</v>
      </c>
      <c r="D215" s="123">
        <v>100</v>
      </c>
      <c r="E215" s="30">
        <v>1.5</v>
      </c>
      <c r="F215" s="30">
        <v>5.0999999999999996</v>
      </c>
      <c r="G215" s="30">
        <v>7.9</v>
      </c>
      <c r="H215" s="30">
        <v>83.5</v>
      </c>
      <c r="I215" s="30">
        <v>0</v>
      </c>
      <c r="J215" s="30">
        <v>33</v>
      </c>
      <c r="K215" s="30">
        <v>0</v>
      </c>
      <c r="L215" s="30">
        <v>3.9</v>
      </c>
      <c r="M215" s="30">
        <v>43.6</v>
      </c>
      <c r="N215" s="30">
        <v>35</v>
      </c>
      <c r="O215" s="30">
        <v>18.5</v>
      </c>
      <c r="P215" s="30">
        <v>0.6</v>
      </c>
    </row>
    <row r="216" spans="1:16" ht="40.5" customHeight="1" x14ac:dyDescent="0.25">
      <c r="B216" s="122" t="s">
        <v>200</v>
      </c>
      <c r="C216" s="71" t="s">
        <v>314</v>
      </c>
      <c r="D216" s="123">
        <v>100</v>
      </c>
      <c r="E216" s="30">
        <v>1.41</v>
      </c>
      <c r="F216" s="30">
        <v>5.08</v>
      </c>
      <c r="G216" s="30">
        <v>9.02</v>
      </c>
      <c r="H216" s="30">
        <v>87.44</v>
      </c>
      <c r="I216" s="30">
        <v>0.03</v>
      </c>
      <c r="J216" s="30">
        <v>32.450000000000003</v>
      </c>
      <c r="K216" s="30">
        <v>0</v>
      </c>
      <c r="L216" s="30">
        <v>2.31</v>
      </c>
      <c r="M216" s="30">
        <v>37.369999999999997</v>
      </c>
      <c r="N216" s="30">
        <v>27.61</v>
      </c>
      <c r="O216" s="30">
        <v>15.16</v>
      </c>
      <c r="P216" s="30">
        <v>0.51</v>
      </c>
    </row>
    <row r="217" spans="1:16" ht="19.5" customHeight="1" x14ac:dyDescent="0.25">
      <c r="B217" s="66"/>
      <c r="C217" s="37" t="s">
        <v>172</v>
      </c>
      <c r="D217" s="67"/>
      <c r="E217" s="30">
        <f>SUM(E215:E216)/2</f>
        <v>1.4550000000000001</v>
      </c>
      <c r="F217" s="30">
        <f t="shared" ref="F217:P217" si="40">SUM(F215:F216)/2</f>
        <v>5.09</v>
      </c>
      <c r="G217" s="30">
        <f t="shared" si="40"/>
        <v>8.4600000000000009</v>
      </c>
      <c r="H217" s="30">
        <f t="shared" si="40"/>
        <v>85.47</v>
      </c>
      <c r="I217" s="30">
        <f t="shared" si="40"/>
        <v>1.4999999999999999E-2</v>
      </c>
      <c r="J217" s="30">
        <f t="shared" si="40"/>
        <v>32.725000000000001</v>
      </c>
      <c r="K217" s="30">
        <f t="shared" si="40"/>
        <v>0</v>
      </c>
      <c r="L217" s="30">
        <f t="shared" si="40"/>
        <v>3.105</v>
      </c>
      <c r="M217" s="30">
        <f t="shared" si="40"/>
        <v>40.484999999999999</v>
      </c>
      <c r="N217" s="30">
        <f t="shared" si="40"/>
        <v>31.305</v>
      </c>
      <c r="O217" s="30">
        <f t="shared" si="40"/>
        <v>16.829999999999998</v>
      </c>
      <c r="P217" s="30">
        <f t="shared" si="40"/>
        <v>0.55499999999999994</v>
      </c>
    </row>
    <row r="218" spans="1:16" ht="20.25" customHeight="1" x14ac:dyDescent="0.25">
      <c r="B218" s="122" t="s">
        <v>201</v>
      </c>
      <c r="C218" s="71" t="s">
        <v>135</v>
      </c>
      <c r="D218" s="123">
        <v>250</v>
      </c>
      <c r="E218" s="30">
        <v>1.75</v>
      </c>
      <c r="F218" s="30">
        <v>7</v>
      </c>
      <c r="G218" s="30">
        <v>15.5</v>
      </c>
      <c r="H218" s="30">
        <v>131</v>
      </c>
      <c r="I218" s="30">
        <v>0.25</v>
      </c>
      <c r="J218" s="30">
        <v>10.25</v>
      </c>
      <c r="K218" s="30">
        <v>0</v>
      </c>
      <c r="L218" s="30">
        <v>1.75</v>
      </c>
      <c r="M218" s="30">
        <v>35</v>
      </c>
      <c r="N218" s="30">
        <v>49.25</v>
      </c>
      <c r="O218" s="30">
        <v>20.75</v>
      </c>
      <c r="P218" s="30">
        <v>1.5</v>
      </c>
    </row>
    <row r="219" spans="1:16" ht="18" customHeight="1" x14ac:dyDescent="0.25">
      <c r="B219" s="122" t="s">
        <v>298</v>
      </c>
      <c r="C219" s="71" t="s">
        <v>299</v>
      </c>
      <c r="D219" s="123">
        <v>100</v>
      </c>
      <c r="E219" s="32">
        <v>9.3800000000000008</v>
      </c>
      <c r="F219" s="32">
        <v>16</v>
      </c>
      <c r="G219" s="32">
        <v>12.24</v>
      </c>
      <c r="H219" s="32">
        <v>190.2</v>
      </c>
      <c r="I219" s="32">
        <v>0.2</v>
      </c>
      <c r="J219" s="32">
        <v>0.06</v>
      </c>
      <c r="K219" s="32">
        <v>2.68</v>
      </c>
      <c r="L219" s="32">
        <v>3.34</v>
      </c>
      <c r="M219" s="32">
        <v>89.08</v>
      </c>
      <c r="N219" s="32">
        <v>22.66</v>
      </c>
      <c r="O219" s="32">
        <v>164.65</v>
      </c>
      <c r="P219" s="32">
        <v>1.47</v>
      </c>
    </row>
    <row r="220" spans="1:16" ht="20.25" customHeight="1" x14ac:dyDescent="0.25">
      <c r="B220" s="122" t="s">
        <v>166</v>
      </c>
      <c r="C220" s="71" t="s">
        <v>53</v>
      </c>
      <c r="D220" s="123">
        <v>180</v>
      </c>
      <c r="E220" s="30">
        <v>5.3460000000000001</v>
      </c>
      <c r="F220" s="30">
        <v>4.8600000000000003</v>
      </c>
      <c r="G220" s="30">
        <v>18.18</v>
      </c>
      <c r="H220" s="30">
        <v>137.84399999999999</v>
      </c>
      <c r="I220" s="30">
        <v>0.28800000000000003</v>
      </c>
      <c r="J220" s="30">
        <v>0</v>
      </c>
      <c r="K220" s="30">
        <v>1.8000000000000002E-2</v>
      </c>
      <c r="L220" s="30">
        <v>0.72</v>
      </c>
      <c r="M220" s="30">
        <v>18.468</v>
      </c>
      <c r="N220" s="30">
        <v>243.99000000000004</v>
      </c>
      <c r="O220" s="30">
        <v>162.57599999999999</v>
      </c>
      <c r="P220" s="30">
        <v>5.58</v>
      </c>
    </row>
    <row r="221" spans="1:16" ht="20.25" customHeight="1" x14ac:dyDescent="0.25">
      <c r="B221" s="118" t="s">
        <v>179</v>
      </c>
      <c r="C221" s="71" t="s">
        <v>58</v>
      </c>
      <c r="D221" s="119">
        <v>200</v>
      </c>
      <c r="E221" s="30">
        <v>0.66</v>
      </c>
      <c r="F221" s="30">
        <v>0.1</v>
      </c>
      <c r="G221" s="30">
        <v>28.02</v>
      </c>
      <c r="H221" s="30">
        <v>109.48</v>
      </c>
      <c r="I221" s="30">
        <v>0</v>
      </c>
      <c r="J221" s="30">
        <v>0.02</v>
      </c>
      <c r="K221" s="30">
        <v>0.68</v>
      </c>
      <c r="L221" s="30">
        <v>0.5</v>
      </c>
      <c r="M221" s="30">
        <v>32.479999999999997</v>
      </c>
      <c r="N221" s="30">
        <v>17.46</v>
      </c>
      <c r="O221" s="30">
        <v>23.44</v>
      </c>
      <c r="P221" s="30">
        <v>0.7</v>
      </c>
    </row>
    <row r="222" spans="1:16" s="68" customFormat="1" ht="22.5" customHeight="1" x14ac:dyDescent="0.25">
      <c r="B222" s="118"/>
      <c r="C222" s="71" t="s">
        <v>174</v>
      </c>
      <c r="D222" s="119">
        <v>150</v>
      </c>
      <c r="E222" s="30">
        <v>1.3999999999999997</v>
      </c>
      <c r="F222" s="30">
        <v>0.20000000000000004</v>
      </c>
      <c r="G222" s="30">
        <v>14.3</v>
      </c>
      <c r="H222" s="30">
        <v>67.5</v>
      </c>
      <c r="I222" s="30">
        <v>5.9999999999999991E-2</v>
      </c>
      <c r="J222" s="30">
        <v>15</v>
      </c>
      <c r="K222" s="30">
        <v>0</v>
      </c>
      <c r="L222" s="30">
        <v>1.7</v>
      </c>
      <c r="M222" s="30">
        <v>30</v>
      </c>
      <c r="N222" s="30">
        <v>51</v>
      </c>
      <c r="O222" s="30">
        <v>24</v>
      </c>
      <c r="P222" s="30">
        <v>0.9</v>
      </c>
    </row>
    <row r="223" spans="1:16" ht="20.100000000000001" customHeight="1" x14ac:dyDescent="0.25">
      <c r="A223" s="27">
        <v>7</v>
      </c>
      <c r="B223" s="122" t="s">
        <v>182</v>
      </c>
      <c r="C223" s="71" t="s">
        <v>20</v>
      </c>
      <c r="D223" s="123">
        <v>40</v>
      </c>
      <c r="E223" s="30">
        <v>3.0666666666666664</v>
      </c>
      <c r="F223" s="30">
        <v>0.26666666666666672</v>
      </c>
      <c r="G223" s="30">
        <v>19.733333333333334</v>
      </c>
      <c r="H223" s="30">
        <v>94</v>
      </c>
      <c r="I223" s="30">
        <v>0</v>
      </c>
      <c r="J223" s="30">
        <v>0</v>
      </c>
      <c r="K223" s="30">
        <v>0</v>
      </c>
      <c r="L223" s="30">
        <v>0.4</v>
      </c>
      <c r="M223" s="30">
        <v>8</v>
      </c>
      <c r="N223" s="30">
        <v>26</v>
      </c>
      <c r="O223" s="30">
        <v>5.6000000000000014</v>
      </c>
      <c r="P223" s="30">
        <v>0.4</v>
      </c>
    </row>
    <row r="224" spans="1:16" ht="20.100000000000001" customHeight="1" x14ac:dyDescent="0.25">
      <c r="A224" s="27">
        <v>7</v>
      </c>
      <c r="B224" s="122" t="s">
        <v>191</v>
      </c>
      <c r="C224" s="71" t="s">
        <v>21</v>
      </c>
      <c r="D224" s="123">
        <v>50</v>
      </c>
      <c r="E224" s="30">
        <v>3.25</v>
      </c>
      <c r="F224" s="30">
        <v>0.625</v>
      </c>
      <c r="G224" s="30">
        <v>19.75</v>
      </c>
      <c r="H224" s="30">
        <v>99</v>
      </c>
      <c r="I224" s="30">
        <v>0.125</v>
      </c>
      <c r="J224" s="30">
        <v>0</v>
      </c>
      <c r="K224" s="30">
        <v>0</v>
      </c>
      <c r="L224" s="30">
        <v>0.75</v>
      </c>
      <c r="M224" s="30">
        <v>14.499999999999998</v>
      </c>
      <c r="N224" s="30">
        <v>75</v>
      </c>
      <c r="O224" s="30">
        <v>23.5</v>
      </c>
      <c r="P224" s="30">
        <v>2</v>
      </c>
    </row>
    <row r="225" spans="1:16" ht="20.100000000000001" customHeight="1" x14ac:dyDescent="0.25">
      <c r="A225" s="27">
        <v>7</v>
      </c>
      <c r="B225" s="114"/>
      <c r="C225" s="114" t="s">
        <v>18</v>
      </c>
      <c r="D225" s="115"/>
      <c r="E225" s="124">
        <f>SUM(E217+E218+E219+E220+E221+E222+E223+E224)</f>
        <v>26.307666666666666</v>
      </c>
      <c r="F225" s="124">
        <f t="shared" ref="F225:P225" si="41">SUM(F217+F218+F219+F220+F221+F222+F223+F224)</f>
        <v>34.141666666666673</v>
      </c>
      <c r="G225" s="124">
        <f t="shared" si="41"/>
        <v>136.18333333333334</v>
      </c>
      <c r="H225" s="124">
        <f t="shared" si="41"/>
        <v>914.49399999999991</v>
      </c>
      <c r="I225" s="124">
        <f t="shared" si="41"/>
        <v>0.93800000000000006</v>
      </c>
      <c r="J225" s="124">
        <f t="shared" si="41"/>
        <v>58.055000000000007</v>
      </c>
      <c r="K225" s="124">
        <f t="shared" si="41"/>
        <v>3.3780000000000001</v>
      </c>
      <c r="L225" s="124">
        <f t="shared" si="41"/>
        <v>12.265000000000001</v>
      </c>
      <c r="M225" s="124">
        <f t="shared" si="41"/>
        <v>268.01299999999998</v>
      </c>
      <c r="N225" s="124">
        <f t="shared" si="41"/>
        <v>516.66499999999996</v>
      </c>
      <c r="O225" s="124">
        <f t="shared" si="41"/>
        <v>441.34600000000006</v>
      </c>
      <c r="P225" s="124">
        <f t="shared" si="41"/>
        <v>13.105</v>
      </c>
    </row>
    <row r="226" spans="1:16" ht="15.75" customHeight="1" x14ac:dyDescent="0.25">
      <c r="A226" s="27">
        <v>7</v>
      </c>
      <c r="B226" s="132" t="s">
        <v>22</v>
      </c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</row>
    <row r="227" spans="1:16" ht="31.9" customHeight="1" x14ac:dyDescent="0.25">
      <c r="A227" s="27">
        <v>7</v>
      </c>
      <c r="B227" s="122" t="s">
        <v>237</v>
      </c>
      <c r="C227" s="71" t="s">
        <v>238</v>
      </c>
      <c r="D227" s="123" t="s">
        <v>310</v>
      </c>
      <c r="E227" s="34">
        <v>6.1319999999999997</v>
      </c>
      <c r="F227" s="34">
        <v>15.834000000000001</v>
      </c>
      <c r="G227" s="34">
        <v>38.135999999999996</v>
      </c>
      <c r="H227" s="34">
        <v>348.6</v>
      </c>
      <c r="I227" s="34">
        <v>0.252</v>
      </c>
      <c r="J227" s="34">
        <v>7.875</v>
      </c>
      <c r="K227" s="34">
        <v>44.1</v>
      </c>
      <c r="L227" s="34">
        <v>5.1029999999999998</v>
      </c>
      <c r="M227" s="34">
        <v>48.258000000000003</v>
      </c>
      <c r="N227" s="34">
        <v>169.34400000000002</v>
      </c>
      <c r="O227" s="34">
        <v>56.091000000000001</v>
      </c>
      <c r="P227" s="34">
        <v>1.7010000000000003</v>
      </c>
    </row>
    <row r="228" spans="1:16" ht="37.5" customHeight="1" x14ac:dyDescent="0.25">
      <c r="A228" s="27">
        <v>7</v>
      </c>
      <c r="B228" s="122" t="s">
        <v>186</v>
      </c>
      <c r="C228" s="40" t="s">
        <v>218</v>
      </c>
      <c r="D228" s="72" t="s">
        <v>310</v>
      </c>
      <c r="E228" s="34">
        <v>16.2</v>
      </c>
      <c r="F228" s="34">
        <v>18.600000000000001</v>
      </c>
      <c r="G228" s="34">
        <v>48.52</v>
      </c>
      <c r="H228" s="34">
        <v>426.4</v>
      </c>
      <c r="I228" s="34">
        <v>0.22</v>
      </c>
      <c r="J228" s="34">
        <v>10.62</v>
      </c>
      <c r="K228" s="34">
        <v>3.92</v>
      </c>
      <c r="L228" s="34">
        <v>3.18</v>
      </c>
      <c r="M228" s="34">
        <v>255.24</v>
      </c>
      <c r="N228" s="34">
        <v>324.33999999999997</v>
      </c>
      <c r="O228" s="34">
        <v>86.32</v>
      </c>
      <c r="P228" s="34">
        <v>2.38</v>
      </c>
    </row>
    <row r="229" spans="1:16" s="68" customFormat="1" ht="17.25" customHeight="1" x14ac:dyDescent="0.25">
      <c r="B229" s="86"/>
      <c r="C229" s="40" t="s">
        <v>172</v>
      </c>
      <c r="D229" s="72"/>
      <c r="E229" s="34">
        <f>SUM(E227:E228)/2</f>
        <v>11.166</v>
      </c>
      <c r="F229" s="34">
        <f t="shared" ref="F229:P229" si="42">SUM(F227:F228)/2</f>
        <v>17.217000000000002</v>
      </c>
      <c r="G229" s="34">
        <f t="shared" si="42"/>
        <v>43.328000000000003</v>
      </c>
      <c r="H229" s="34">
        <f t="shared" si="42"/>
        <v>387.5</v>
      </c>
      <c r="I229" s="34">
        <f t="shared" si="42"/>
        <v>0.23599999999999999</v>
      </c>
      <c r="J229" s="34">
        <f t="shared" si="42"/>
        <v>9.2474999999999987</v>
      </c>
      <c r="K229" s="34">
        <f t="shared" si="42"/>
        <v>24.01</v>
      </c>
      <c r="L229" s="34">
        <f t="shared" si="42"/>
        <v>4.1414999999999997</v>
      </c>
      <c r="M229" s="34">
        <f t="shared" si="42"/>
        <v>151.749</v>
      </c>
      <c r="N229" s="34">
        <f t="shared" si="42"/>
        <v>246.84199999999998</v>
      </c>
      <c r="O229" s="34">
        <f t="shared" si="42"/>
        <v>71.205500000000001</v>
      </c>
      <c r="P229" s="34">
        <f t="shared" si="42"/>
        <v>2.0405000000000002</v>
      </c>
    </row>
    <row r="230" spans="1:16" s="68" customFormat="1" ht="20.100000000000001" customHeight="1" x14ac:dyDescent="0.25">
      <c r="B230" s="86" t="s">
        <v>235</v>
      </c>
      <c r="C230" s="40" t="s">
        <v>26</v>
      </c>
      <c r="D230" s="72" t="s">
        <v>127</v>
      </c>
      <c r="E230" s="34">
        <v>0.08</v>
      </c>
      <c r="F230" s="34">
        <v>0.02</v>
      </c>
      <c r="G230" s="34">
        <v>15</v>
      </c>
      <c r="H230" s="34">
        <v>60.5</v>
      </c>
      <c r="I230" s="34">
        <v>0</v>
      </c>
      <c r="J230" s="34">
        <v>0</v>
      </c>
      <c r="K230" s="34">
        <v>0.04</v>
      </c>
      <c r="L230" s="34">
        <v>0</v>
      </c>
      <c r="M230" s="34">
        <v>11.1</v>
      </c>
      <c r="N230" s="34">
        <v>1.4</v>
      </c>
      <c r="O230" s="34">
        <v>2.8</v>
      </c>
      <c r="P230" s="34">
        <v>0.28000000000000003</v>
      </c>
    </row>
    <row r="231" spans="1:16" ht="19.5" customHeight="1" x14ac:dyDescent="0.25">
      <c r="A231" s="27">
        <v>7</v>
      </c>
      <c r="B231" s="114"/>
      <c r="C231" s="114" t="s">
        <v>18</v>
      </c>
      <c r="D231" s="115"/>
      <c r="E231" s="114">
        <f t="shared" ref="E231:P231" si="43">SUM(E229:E230)</f>
        <v>11.246</v>
      </c>
      <c r="F231" s="114">
        <f t="shared" si="43"/>
        <v>17.237000000000002</v>
      </c>
      <c r="G231" s="114">
        <f t="shared" si="43"/>
        <v>58.328000000000003</v>
      </c>
      <c r="H231" s="114">
        <f t="shared" si="43"/>
        <v>448</v>
      </c>
      <c r="I231" s="114">
        <f t="shared" si="43"/>
        <v>0.23599999999999999</v>
      </c>
      <c r="J231" s="114">
        <f t="shared" si="43"/>
        <v>9.2474999999999987</v>
      </c>
      <c r="K231" s="114">
        <f t="shared" si="43"/>
        <v>24.05</v>
      </c>
      <c r="L231" s="114">
        <f t="shared" si="43"/>
        <v>4.1414999999999997</v>
      </c>
      <c r="M231" s="114">
        <f t="shared" si="43"/>
        <v>162.84899999999999</v>
      </c>
      <c r="N231" s="114">
        <f t="shared" si="43"/>
        <v>248.24199999999999</v>
      </c>
      <c r="O231" s="114">
        <f t="shared" si="43"/>
        <v>74.005499999999998</v>
      </c>
      <c r="P231" s="114">
        <f t="shared" si="43"/>
        <v>2.3205</v>
      </c>
    </row>
    <row r="232" spans="1:16" ht="20.100000000000001" customHeight="1" x14ac:dyDescent="0.25">
      <c r="A232" s="27">
        <v>7</v>
      </c>
      <c r="B232" s="66"/>
      <c r="C232" s="66" t="s">
        <v>32</v>
      </c>
      <c r="D232" s="67"/>
      <c r="E232" s="66">
        <f t="shared" ref="E232:P232" si="44">SUM(E213+E225+E231)</f>
        <v>54.64116666666667</v>
      </c>
      <c r="F232" s="118">
        <f t="shared" si="44"/>
        <v>73.161166666666674</v>
      </c>
      <c r="G232" s="118">
        <f t="shared" si="44"/>
        <v>287.65133333333335</v>
      </c>
      <c r="H232" s="118">
        <f t="shared" si="44"/>
        <v>1946.6927499999999</v>
      </c>
      <c r="I232" s="118">
        <f t="shared" si="44"/>
        <v>1.4490000000000001</v>
      </c>
      <c r="J232" s="118">
        <f t="shared" si="44"/>
        <v>72.482500000000002</v>
      </c>
      <c r="K232" s="118">
        <f t="shared" si="44"/>
        <v>27.655000000000001</v>
      </c>
      <c r="L232" s="118">
        <f t="shared" si="44"/>
        <v>19.327750000000002</v>
      </c>
      <c r="M232" s="118">
        <f t="shared" si="44"/>
        <v>720.73699999999985</v>
      </c>
      <c r="N232" s="118">
        <f t="shared" si="44"/>
        <v>1089.9557500000001</v>
      </c>
      <c r="O232" s="118">
        <f t="shared" si="44"/>
        <v>593.34525000000008</v>
      </c>
      <c r="P232" s="118">
        <f t="shared" si="44"/>
        <v>18.781749999999999</v>
      </c>
    </row>
    <row r="233" spans="1:16" s="36" customFormat="1" ht="20.100000000000001" customHeight="1" x14ac:dyDescent="0.3">
      <c r="B233" s="41"/>
      <c r="C233" s="41"/>
      <c r="D233" s="46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</row>
    <row r="234" spans="1:16" s="36" customFormat="1" ht="20.100000000000001" customHeight="1" x14ac:dyDescent="0.3">
      <c r="B234" s="39" t="s">
        <v>122</v>
      </c>
      <c r="C234" s="38"/>
      <c r="D234" s="46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</row>
    <row r="235" spans="1:16" s="36" customFormat="1" ht="20.100000000000001" customHeight="1" x14ac:dyDescent="0.3">
      <c r="B235" s="39" t="s">
        <v>120</v>
      </c>
      <c r="C235" s="38"/>
      <c r="D235" s="46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</row>
    <row r="236" spans="1:16" s="36" customFormat="1" ht="20.100000000000001" customHeight="1" x14ac:dyDescent="0.3">
      <c r="B236" s="39" t="s">
        <v>306</v>
      </c>
      <c r="C236" s="38"/>
      <c r="D236" s="46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</row>
    <row r="237" spans="1:16" s="36" customFormat="1" ht="20.100000000000001" customHeight="1" x14ac:dyDescent="0.3">
      <c r="B237" s="41"/>
      <c r="C237" s="41"/>
      <c r="D237" s="46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</row>
    <row r="238" spans="1:16" s="36" customFormat="1" ht="36" customHeight="1" x14ac:dyDescent="0.3">
      <c r="B238" s="134" t="s">
        <v>0</v>
      </c>
      <c r="C238" s="134" t="s">
        <v>1</v>
      </c>
      <c r="D238" s="135" t="s">
        <v>2</v>
      </c>
      <c r="E238" s="132" t="s">
        <v>3</v>
      </c>
      <c r="F238" s="132"/>
      <c r="G238" s="132"/>
      <c r="H238" s="132" t="s">
        <v>4</v>
      </c>
      <c r="I238" s="132" t="s">
        <v>5</v>
      </c>
      <c r="J238" s="132"/>
      <c r="K238" s="132"/>
      <c r="L238" s="132"/>
      <c r="M238" s="132" t="s">
        <v>6</v>
      </c>
      <c r="N238" s="132"/>
      <c r="O238" s="132"/>
      <c r="P238" s="132"/>
    </row>
    <row r="239" spans="1:16" s="36" customFormat="1" ht="34.15" customHeight="1" x14ac:dyDescent="0.3">
      <c r="B239" s="134"/>
      <c r="C239" s="134"/>
      <c r="D239" s="135"/>
      <c r="E239" s="66" t="s">
        <v>7</v>
      </c>
      <c r="F239" s="66" t="s">
        <v>8</v>
      </c>
      <c r="G239" s="66" t="s">
        <v>9</v>
      </c>
      <c r="H239" s="132"/>
      <c r="I239" s="66" t="s">
        <v>114</v>
      </c>
      <c r="J239" s="66" t="s">
        <v>10</v>
      </c>
      <c r="K239" s="66" t="s">
        <v>11</v>
      </c>
      <c r="L239" s="66" t="s">
        <v>12</v>
      </c>
      <c r="M239" s="66" t="s">
        <v>13</v>
      </c>
      <c r="N239" s="66" t="s">
        <v>14</v>
      </c>
      <c r="O239" s="66" t="s">
        <v>15</v>
      </c>
      <c r="P239" s="66" t="s">
        <v>16</v>
      </c>
    </row>
    <row r="240" spans="1:16" ht="18" customHeight="1" x14ac:dyDescent="0.25">
      <c r="A240" s="27">
        <v>8</v>
      </c>
      <c r="B240" s="132" t="s">
        <v>17</v>
      </c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</row>
    <row r="241" spans="1:16" ht="37.5" customHeight="1" x14ac:dyDescent="0.25">
      <c r="A241" s="27">
        <v>8</v>
      </c>
      <c r="B241" s="122" t="s">
        <v>195</v>
      </c>
      <c r="C241" s="71" t="s">
        <v>227</v>
      </c>
      <c r="D241" s="123" t="s">
        <v>310</v>
      </c>
      <c r="E241" s="30">
        <v>15.75</v>
      </c>
      <c r="F241" s="30">
        <v>14.04</v>
      </c>
      <c r="G241" s="30">
        <v>29.718000000000004</v>
      </c>
      <c r="H241" s="30">
        <v>362.7</v>
      </c>
      <c r="I241" s="30">
        <v>7.2000000000000008E-2</v>
      </c>
      <c r="J241" s="30">
        <v>1.9800000000000002</v>
      </c>
      <c r="K241" s="30">
        <v>0.10799999999999998</v>
      </c>
      <c r="L241" s="30">
        <v>6.0479999999999992</v>
      </c>
      <c r="M241" s="30">
        <v>184.86</v>
      </c>
      <c r="N241" s="30">
        <v>265.14000000000004</v>
      </c>
      <c r="O241" s="30">
        <v>40.409999999999997</v>
      </c>
      <c r="P241" s="30">
        <v>1.0619999999999998</v>
      </c>
    </row>
    <row r="242" spans="1:16" ht="28.9" customHeight="1" x14ac:dyDescent="0.25">
      <c r="B242" s="110" t="s">
        <v>211</v>
      </c>
      <c r="C242" s="71" t="s">
        <v>134</v>
      </c>
      <c r="D242" s="111">
        <v>10</v>
      </c>
      <c r="E242" s="30">
        <v>0.08</v>
      </c>
      <c r="F242" s="30">
        <v>7.25</v>
      </c>
      <c r="G242" s="30">
        <v>0.13</v>
      </c>
      <c r="H242" s="30">
        <v>66.099999999999994</v>
      </c>
      <c r="I242" s="30">
        <v>1E-3</v>
      </c>
      <c r="J242" s="30">
        <v>0</v>
      </c>
      <c r="K242" s="30">
        <v>0.04</v>
      </c>
      <c r="L242" s="30">
        <v>0.1</v>
      </c>
      <c r="M242" s="30">
        <v>2.4</v>
      </c>
      <c r="N242" s="30">
        <v>3</v>
      </c>
      <c r="O242" s="30">
        <v>0</v>
      </c>
      <c r="P242" s="30">
        <v>0.02</v>
      </c>
    </row>
    <row r="243" spans="1:16" ht="19.149999999999999" customHeight="1" x14ac:dyDescent="0.25">
      <c r="B243" s="110" t="s">
        <v>187</v>
      </c>
      <c r="C243" s="71" t="s">
        <v>24</v>
      </c>
      <c r="D243" s="111">
        <v>30</v>
      </c>
      <c r="E243" s="30">
        <v>2.4</v>
      </c>
      <c r="F243" s="30">
        <v>7.4999999999999997E-2</v>
      </c>
      <c r="G243" s="30">
        <v>15.9</v>
      </c>
      <c r="H243" s="30">
        <v>81</v>
      </c>
      <c r="I243" s="30">
        <v>0.06</v>
      </c>
      <c r="J243" s="30">
        <v>1.2</v>
      </c>
      <c r="K243" s="30">
        <v>0</v>
      </c>
      <c r="L243" s="30">
        <v>0</v>
      </c>
      <c r="M243" s="30">
        <v>11.4</v>
      </c>
      <c r="N243" s="30">
        <v>39</v>
      </c>
      <c r="O243" s="30">
        <v>7.8</v>
      </c>
      <c r="P243" s="30">
        <v>0.75</v>
      </c>
    </row>
    <row r="244" spans="1:16" ht="18" customHeight="1" x14ac:dyDescent="0.25">
      <c r="B244" s="110" t="s">
        <v>164</v>
      </c>
      <c r="C244" s="71" t="s">
        <v>26</v>
      </c>
      <c r="D244" s="111" t="s">
        <v>127</v>
      </c>
      <c r="E244" s="30">
        <v>0.08</v>
      </c>
      <c r="F244" s="30">
        <v>0.02</v>
      </c>
      <c r="G244" s="30">
        <v>15</v>
      </c>
      <c r="H244" s="30">
        <v>60.5</v>
      </c>
      <c r="I244" s="30">
        <v>0</v>
      </c>
      <c r="J244" s="30">
        <v>0</v>
      </c>
      <c r="K244" s="30">
        <v>0.04</v>
      </c>
      <c r="L244" s="30">
        <v>0</v>
      </c>
      <c r="M244" s="30">
        <v>11.1</v>
      </c>
      <c r="N244" s="30">
        <v>1.4</v>
      </c>
      <c r="O244" s="30">
        <v>2.8</v>
      </c>
      <c r="P244" s="30">
        <v>0.28000000000000003</v>
      </c>
    </row>
    <row r="245" spans="1:16" s="68" customFormat="1" ht="20.100000000000001" customHeight="1" x14ac:dyDescent="0.25">
      <c r="B245" s="110"/>
      <c r="C245" s="71" t="s">
        <v>174</v>
      </c>
      <c r="D245" s="111">
        <v>150</v>
      </c>
      <c r="E245" s="30">
        <v>1.3999999999999997</v>
      </c>
      <c r="F245" s="30">
        <v>0.20000000000000004</v>
      </c>
      <c r="G245" s="30">
        <v>14.3</v>
      </c>
      <c r="H245" s="30">
        <v>64.599999999999994</v>
      </c>
      <c r="I245" s="30">
        <v>5.9999999999999991E-2</v>
      </c>
      <c r="J245" s="30">
        <v>15</v>
      </c>
      <c r="K245" s="30">
        <v>0</v>
      </c>
      <c r="L245" s="30">
        <v>1.7</v>
      </c>
      <c r="M245" s="30">
        <v>30</v>
      </c>
      <c r="N245" s="30">
        <v>51</v>
      </c>
      <c r="O245" s="30">
        <v>24</v>
      </c>
      <c r="P245" s="30">
        <v>0.9</v>
      </c>
    </row>
    <row r="246" spans="1:16" ht="15.6" hidden="1" customHeight="1" x14ac:dyDescent="0.25">
      <c r="B246" s="66"/>
      <c r="C246" s="70" t="s">
        <v>18</v>
      </c>
      <c r="D246" s="67"/>
      <c r="E246" s="69">
        <v>163.43324999999999</v>
      </c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</row>
    <row r="247" spans="1:16" s="68" customFormat="1" ht="21" customHeight="1" x14ac:dyDescent="0.25">
      <c r="B247" s="114"/>
      <c r="C247" s="125" t="s">
        <v>18</v>
      </c>
      <c r="D247" s="125"/>
      <c r="E247" s="114">
        <f>SUM(E241+E242+E243+E244+E245)</f>
        <v>19.709999999999997</v>
      </c>
      <c r="F247" s="114">
        <f t="shared" ref="F247:P247" si="45">SUM(F241+F242+F243+F244+F245)</f>
        <v>21.584999999999997</v>
      </c>
      <c r="G247" s="114">
        <f t="shared" si="45"/>
        <v>75.048000000000002</v>
      </c>
      <c r="H247" s="114">
        <f t="shared" si="45"/>
        <v>634.9</v>
      </c>
      <c r="I247" s="114">
        <f t="shared" si="45"/>
        <v>0.193</v>
      </c>
      <c r="J247" s="114">
        <f t="shared" si="45"/>
        <v>18.18</v>
      </c>
      <c r="K247" s="114">
        <f t="shared" si="45"/>
        <v>0.188</v>
      </c>
      <c r="L247" s="114">
        <f t="shared" si="45"/>
        <v>7.847999999999999</v>
      </c>
      <c r="M247" s="114">
        <f t="shared" si="45"/>
        <v>239.76000000000002</v>
      </c>
      <c r="N247" s="114">
        <f t="shared" si="45"/>
        <v>359.54</v>
      </c>
      <c r="O247" s="114">
        <f t="shared" si="45"/>
        <v>75.009999999999991</v>
      </c>
      <c r="P247" s="114">
        <f t="shared" si="45"/>
        <v>3.012</v>
      </c>
    </row>
    <row r="248" spans="1:16" ht="20.100000000000001" customHeight="1" x14ac:dyDescent="0.25">
      <c r="A248" s="27">
        <v>8</v>
      </c>
      <c r="B248" s="132" t="s">
        <v>19</v>
      </c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</row>
    <row r="249" spans="1:16" s="68" customFormat="1" ht="20.100000000000001" customHeight="1" x14ac:dyDescent="0.25">
      <c r="B249" s="61" t="s">
        <v>292</v>
      </c>
      <c r="C249" s="71" t="s">
        <v>293</v>
      </c>
      <c r="D249" s="123">
        <v>100</v>
      </c>
      <c r="E249" s="30">
        <v>2.29</v>
      </c>
      <c r="F249" s="30">
        <v>1.22</v>
      </c>
      <c r="G249" s="30">
        <v>14.34</v>
      </c>
      <c r="H249" s="30">
        <v>67</v>
      </c>
      <c r="I249" s="30">
        <v>0</v>
      </c>
      <c r="J249" s="30">
        <v>1.8</v>
      </c>
      <c r="K249" s="30">
        <v>0</v>
      </c>
      <c r="L249" s="30">
        <v>0.1</v>
      </c>
      <c r="M249" s="30">
        <v>3</v>
      </c>
      <c r="N249" s="30">
        <v>46</v>
      </c>
      <c r="O249" s="30">
        <v>13</v>
      </c>
      <c r="P249" s="30">
        <v>0.3</v>
      </c>
    </row>
    <row r="250" spans="1:16" ht="43.5" customHeight="1" x14ac:dyDescent="0.25">
      <c r="A250" s="27">
        <v>8</v>
      </c>
      <c r="B250" s="122" t="s">
        <v>300</v>
      </c>
      <c r="C250" s="71" t="s">
        <v>319</v>
      </c>
      <c r="D250" s="72">
        <v>100</v>
      </c>
      <c r="E250" s="30">
        <v>4.8</v>
      </c>
      <c r="F250" s="30">
        <v>5.5</v>
      </c>
      <c r="G250" s="30">
        <v>8.3000000000000007</v>
      </c>
      <c r="H250" s="30">
        <v>101.9</v>
      </c>
      <c r="I250" s="30">
        <v>0.17</v>
      </c>
      <c r="J250" s="30">
        <v>5.5</v>
      </c>
      <c r="K250" s="30">
        <v>31.8</v>
      </c>
      <c r="L250" s="30">
        <v>0.7</v>
      </c>
      <c r="M250" s="30">
        <v>59.2</v>
      </c>
      <c r="N250" s="30">
        <v>114.7</v>
      </c>
      <c r="O250" s="30">
        <v>35.299999999999997</v>
      </c>
      <c r="P250" s="30">
        <v>3</v>
      </c>
    </row>
    <row r="251" spans="1:16" s="68" customFormat="1" ht="19.5" customHeight="1" x14ac:dyDescent="0.25">
      <c r="B251" s="118"/>
      <c r="C251" s="71" t="s">
        <v>172</v>
      </c>
      <c r="D251" s="119"/>
      <c r="E251" s="30">
        <f>SUM(E249:E250)/2</f>
        <v>3.5449999999999999</v>
      </c>
      <c r="F251" s="30">
        <f t="shared" ref="F251:P251" si="46">SUM(F249:F250)/2</f>
        <v>3.36</v>
      </c>
      <c r="G251" s="30">
        <f t="shared" si="46"/>
        <v>11.32</v>
      </c>
      <c r="H251" s="30">
        <f t="shared" si="46"/>
        <v>84.45</v>
      </c>
      <c r="I251" s="30">
        <f t="shared" si="46"/>
        <v>8.5000000000000006E-2</v>
      </c>
      <c r="J251" s="30">
        <f t="shared" si="46"/>
        <v>3.65</v>
      </c>
      <c r="K251" s="30">
        <f t="shared" si="46"/>
        <v>15.9</v>
      </c>
      <c r="L251" s="30">
        <f t="shared" si="46"/>
        <v>0.39999999999999997</v>
      </c>
      <c r="M251" s="30">
        <f t="shared" si="46"/>
        <v>31.1</v>
      </c>
      <c r="N251" s="30">
        <f t="shared" si="46"/>
        <v>80.349999999999994</v>
      </c>
      <c r="O251" s="30">
        <f t="shared" si="46"/>
        <v>24.15</v>
      </c>
      <c r="P251" s="30">
        <f t="shared" si="46"/>
        <v>1.65</v>
      </c>
    </row>
    <row r="252" spans="1:16" s="68" customFormat="1" ht="41.25" customHeight="1" x14ac:dyDescent="0.25">
      <c r="B252" s="122" t="s">
        <v>202</v>
      </c>
      <c r="C252" s="71" t="s">
        <v>132</v>
      </c>
      <c r="D252" s="123" t="s">
        <v>313</v>
      </c>
      <c r="E252" s="30">
        <v>2.4750000000000001</v>
      </c>
      <c r="F252" s="30">
        <v>3.0249999999999999</v>
      </c>
      <c r="G252" s="30">
        <v>17.05</v>
      </c>
      <c r="H252" s="30">
        <v>105.325</v>
      </c>
      <c r="I252" s="30">
        <v>0</v>
      </c>
      <c r="J252" s="30">
        <v>0</v>
      </c>
      <c r="K252" s="30">
        <v>12.1</v>
      </c>
      <c r="L252" s="30">
        <v>1.375</v>
      </c>
      <c r="M252" s="30">
        <v>32.725000000000001</v>
      </c>
      <c r="N252" s="30">
        <v>32.725000000000001</v>
      </c>
      <c r="O252" s="30">
        <v>79.474999999999994</v>
      </c>
      <c r="P252" s="30">
        <v>1.375</v>
      </c>
    </row>
    <row r="253" spans="1:16" s="68" customFormat="1" ht="20.100000000000001" customHeight="1" x14ac:dyDescent="0.25">
      <c r="B253" s="118" t="s">
        <v>302</v>
      </c>
      <c r="C253" s="71" t="s">
        <v>301</v>
      </c>
      <c r="D253" s="111">
        <v>100</v>
      </c>
      <c r="E253" s="30">
        <v>8.1999999999999993</v>
      </c>
      <c r="F253" s="30">
        <v>11.4</v>
      </c>
      <c r="G253" s="30">
        <v>5.4</v>
      </c>
      <c r="H253" s="30">
        <v>157</v>
      </c>
      <c r="I253" s="30">
        <v>0.1</v>
      </c>
      <c r="J253" s="30">
        <v>0.1</v>
      </c>
      <c r="K253" s="30">
        <v>1.1000000000000001</v>
      </c>
      <c r="L253" s="30">
        <v>1.5</v>
      </c>
      <c r="M253" s="30">
        <v>24</v>
      </c>
      <c r="N253" s="30">
        <v>17.7</v>
      </c>
      <c r="O253" s="30">
        <v>136</v>
      </c>
      <c r="P253" s="30">
        <v>1.6</v>
      </c>
    </row>
    <row r="254" spans="1:16" ht="20.100000000000001" customHeight="1" x14ac:dyDescent="0.25">
      <c r="A254" s="27">
        <v>8</v>
      </c>
      <c r="B254" s="122" t="s">
        <v>166</v>
      </c>
      <c r="C254" s="71" t="s">
        <v>160</v>
      </c>
      <c r="D254" s="123">
        <v>180</v>
      </c>
      <c r="E254" s="30">
        <v>4.32</v>
      </c>
      <c r="F254" s="30">
        <v>4.8240000000000007</v>
      </c>
      <c r="G254" s="30">
        <v>37.764000000000003</v>
      </c>
      <c r="H254" s="30">
        <v>211.75200000000001</v>
      </c>
      <c r="I254" s="30">
        <v>3.6000000000000004E-2</v>
      </c>
      <c r="J254" s="30">
        <v>0</v>
      </c>
      <c r="K254" s="30">
        <v>23.22</v>
      </c>
      <c r="L254" s="30">
        <v>0.30599999999999999</v>
      </c>
      <c r="M254" s="30">
        <v>7.0920000000000005</v>
      </c>
      <c r="N254" s="30">
        <v>93.366</v>
      </c>
      <c r="O254" s="30">
        <v>30.545999999999999</v>
      </c>
      <c r="P254" s="30">
        <v>0.62999999999999989</v>
      </c>
    </row>
    <row r="255" spans="1:16" ht="20.100000000000001" customHeight="1" x14ac:dyDescent="0.25">
      <c r="A255" s="27">
        <v>8</v>
      </c>
      <c r="B255" s="118" t="s">
        <v>181</v>
      </c>
      <c r="C255" s="71" t="s">
        <v>57</v>
      </c>
      <c r="D255" s="119">
        <v>200</v>
      </c>
      <c r="E255" s="30">
        <v>0.28000000000000003</v>
      </c>
      <c r="F255" s="30">
        <v>0.1</v>
      </c>
      <c r="G255" s="30">
        <v>28.88</v>
      </c>
      <c r="H255" s="30">
        <v>117.54</v>
      </c>
      <c r="I255" s="30">
        <v>0</v>
      </c>
      <c r="J255" s="30">
        <v>19.3</v>
      </c>
      <c r="K255" s="30">
        <v>0</v>
      </c>
      <c r="L255" s="30">
        <v>0.16</v>
      </c>
      <c r="M255" s="30">
        <v>13.66</v>
      </c>
      <c r="N255" s="30">
        <v>7.38</v>
      </c>
      <c r="O255" s="30">
        <v>5.78</v>
      </c>
      <c r="P255" s="30">
        <v>0.46800000000000003</v>
      </c>
    </row>
    <row r="256" spans="1:16" ht="20.100000000000001" customHeight="1" x14ac:dyDescent="0.25">
      <c r="A256" s="27">
        <v>8</v>
      </c>
      <c r="B256" s="122" t="s">
        <v>182</v>
      </c>
      <c r="C256" s="71" t="s">
        <v>20</v>
      </c>
      <c r="D256" s="123">
        <v>40</v>
      </c>
      <c r="E256" s="30">
        <v>3.0666666666666664</v>
      </c>
      <c r="F256" s="30">
        <v>0.26666666666666672</v>
      </c>
      <c r="G256" s="30">
        <v>19.733333333333334</v>
      </c>
      <c r="H256" s="30">
        <v>94</v>
      </c>
      <c r="I256" s="30">
        <v>0</v>
      </c>
      <c r="J256" s="30">
        <v>0</v>
      </c>
      <c r="K256" s="30">
        <v>0</v>
      </c>
      <c r="L256" s="30">
        <v>0.4</v>
      </c>
      <c r="M256" s="30">
        <v>8</v>
      </c>
      <c r="N256" s="30">
        <v>26</v>
      </c>
      <c r="O256" s="30">
        <v>5.6000000000000014</v>
      </c>
      <c r="P256" s="30">
        <v>0.4</v>
      </c>
    </row>
    <row r="257" spans="1:16" ht="20.100000000000001" customHeight="1" x14ac:dyDescent="0.25">
      <c r="A257" s="27">
        <v>8</v>
      </c>
      <c r="B257" s="122" t="s">
        <v>191</v>
      </c>
      <c r="C257" s="71" t="s">
        <v>21</v>
      </c>
      <c r="D257" s="123">
        <v>50</v>
      </c>
      <c r="E257" s="30">
        <v>3.25</v>
      </c>
      <c r="F257" s="30">
        <v>0.625</v>
      </c>
      <c r="G257" s="30">
        <v>19.75</v>
      </c>
      <c r="H257" s="30">
        <v>99</v>
      </c>
      <c r="I257" s="30">
        <v>0.125</v>
      </c>
      <c r="J257" s="30">
        <v>0</v>
      </c>
      <c r="K257" s="30">
        <v>0</v>
      </c>
      <c r="L257" s="30">
        <v>0.75</v>
      </c>
      <c r="M257" s="30">
        <v>14.499999999999998</v>
      </c>
      <c r="N257" s="30">
        <v>75</v>
      </c>
      <c r="O257" s="30">
        <v>23.5</v>
      </c>
      <c r="P257" s="30">
        <v>2</v>
      </c>
    </row>
    <row r="258" spans="1:16" ht="21.75" customHeight="1" x14ac:dyDescent="0.25">
      <c r="A258" s="27">
        <v>8</v>
      </c>
      <c r="B258" s="114"/>
      <c r="C258" s="114" t="s">
        <v>18</v>
      </c>
      <c r="D258" s="121"/>
      <c r="E258" s="114">
        <f>SUM(E251:E257)</f>
        <v>25.136666666666667</v>
      </c>
      <c r="F258" s="114">
        <f t="shared" ref="F258:P258" si="47">SUM(F251:F257)</f>
        <v>23.600666666666669</v>
      </c>
      <c r="G258" s="114">
        <f t="shared" si="47"/>
        <v>139.89733333333334</v>
      </c>
      <c r="H258" s="114">
        <f t="shared" si="47"/>
        <v>869.06700000000001</v>
      </c>
      <c r="I258" s="114">
        <f t="shared" si="47"/>
        <v>0.34599999999999997</v>
      </c>
      <c r="J258" s="114">
        <f t="shared" si="47"/>
        <v>23.05</v>
      </c>
      <c r="K258" s="114">
        <f t="shared" si="47"/>
        <v>52.32</v>
      </c>
      <c r="L258" s="114">
        <f t="shared" si="47"/>
        <v>4.891</v>
      </c>
      <c r="M258" s="114">
        <f t="shared" si="47"/>
        <v>131.077</v>
      </c>
      <c r="N258" s="114">
        <f t="shared" si="47"/>
        <v>332.52099999999996</v>
      </c>
      <c r="O258" s="114">
        <f t="shared" si="47"/>
        <v>305.05099999999999</v>
      </c>
      <c r="P258" s="114">
        <f t="shared" si="47"/>
        <v>8.1230000000000011</v>
      </c>
    </row>
    <row r="259" spans="1:16" ht="16.149999999999999" customHeight="1" x14ac:dyDescent="0.25">
      <c r="A259" s="27">
        <v>8</v>
      </c>
      <c r="B259" s="132" t="s">
        <v>22</v>
      </c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</row>
    <row r="260" spans="1:16" s="68" customFormat="1" ht="40.5" customHeight="1" x14ac:dyDescent="0.25">
      <c r="B260" s="110" t="s">
        <v>219</v>
      </c>
      <c r="C260" s="71" t="s">
        <v>220</v>
      </c>
      <c r="D260" s="111">
        <v>100</v>
      </c>
      <c r="E260" s="30">
        <v>8.07</v>
      </c>
      <c r="F260" s="30">
        <v>10.02</v>
      </c>
      <c r="G260" s="30">
        <v>3.04</v>
      </c>
      <c r="H260" s="30">
        <v>170.5</v>
      </c>
      <c r="I260" s="30">
        <v>8.1000000000000003E-2</v>
      </c>
      <c r="J260" s="30">
        <v>0.1</v>
      </c>
      <c r="K260" s="30">
        <v>1.43</v>
      </c>
      <c r="L260" s="30">
        <v>2.74</v>
      </c>
      <c r="M260" s="30">
        <v>47.49</v>
      </c>
      <c r="N260" s="30">
        <v>28.73</v>
      </c>
      <c r="O260" s="30">
        <v>13.07</v>
      </c>
      <c r="P260" s="30">
        <v>1.75</v>
      </c>
    </row>
    <row r="261" spans="1:16" s="68" customFormat="1" ht="22.5" customHeight="1" x14ac:dyDescent="0.25">
      <c r="B261" s="122" t="s">
        <v>199</v>
      </c>
      <c r="C261" s="71" t="s">
        <v>221</v>
      </c>
      <c r="D261" s="123">
        <v>100</v>
      </c>
      <c r="E261" s="30">
        <v>0.8</v>
      </c>
      <c r="F261" s="30">
        <v>0.1</v>
      </c>
      <c r="G261" s="30">
        <v>2.5</v>
      </c>
      <c r="H261" s="30">
        <v>14.1</v>
      </c>
      <c r="I261" s="30">
        <v>0</v>
      </c>
      <c r="J261" s="30">
        <v>10</v>
      </c>
      <c r="K261" s="30">
        <v>0</v>
      </c>
      <c r="L261" s="30">
        <v>0</v>
      </c>
      <c r="M261" s="30">
        <v>23.3</v>
      </c>
      <c r="N261" s="30">
        <v>41.6</v>
      </c>
      <c r="O261" s="30">
        <v>14</v>
      </c>
      <c r="P261" s="30">
        <v>0.6</v>
      </c>
    </row>
    <row r="262" spans="1:16" s="68" customFormat="1" ht="20.25" customHeight="1" x14ac:dyDescent="0.25">
      <c r="B262" s="122" t="s">
        <v>189</v>
      </c>
      <c r="C262" s="71" t="s">
        <v>222</v>
      </c>
      <c r="D262" s="123">
        <v>100</v>
      </c>
      <c r="E262" s="30">
        <v>0.8</v>
      </c>
      <c r="F262" s="30">
        <v>0.1</v>
      </c>
      <c r="G262" s="30">
        <v>1.7</v>
      </c>
      <c r="H262" s="30">
        <v>10.9</v>
      </c>
      <c r="I262" s="30">
        <v>0.02</v>
      </c>
      <c r="J262" s="30">
        <v>5</v>
      </c>
      <c r="K262" s="30">
        <v>0</v>
      </c>
      <c r="L262" s="30">
        <v>0.1</v>
      </c>
      <c r="M262" s="30">
        <v>23</v>
      </c>
      <c r="N262" s="30">
        <v>24</v>
      </c>
      <c r="O262" s="30">
        <v>14</v>
      </c>
      <c r="P262" s="30">
        <v>0.6</v>
      </c>
    </row>
    <row r="263" spans="1:16" s="68" customFormat="1" ht="21.75" customHeight="1" x14ac:dyDescent="0.25">
      <c r="B263" s="110"/>
      <c r="C263" s="71" t="s">
        <v>172</v>
      </c>
      <c r="D263" s="111"/>
      <c r="E263" s="30">
        <f>SUM(E261:E262)/2</f>
        <v>0.8</v>
      </c>
      <c r="F263" s="30">
        <f t="shared" ref="F263:P263" si="48">SUM(F261:F262)/2</f>
        <v>0.1</v>
      </c>
      <c r="G263" s="30">
        <f t="shared" si="48"/>
        <v>2.1</v>
      </c>
      <c r="H263" s="30">
        <f t="shared" si="48"/>
        <v>12.5</v>
      </c>
      <c r="I263" s="30">
        <f t="shared" si="48"/>
        <v>0.01</v>
      </c>
      <c r="J263" s="30">
        <f t="shared" si="48"/>
        <v>7.5</v>
      </c>
      <c r="K263" s="30">
        <f t="shared" si="48"/>
        <v>0</v>
      </c>
      <c r="L263" s="30">
        <f t="shared" si="48"/>
        <v>0.05</v>
      </c>
      <c r="M263" s="30">
        <f t="shared" si="48"/>
        <v>23.15</v>
      </c>
      <c r="N263" s="30">
        <f t="shared" si="48"/>
        <v>32.799999999999997</v>
      </c>
      <c r="O263" s="30">
        <f t="shared" si="48"/>
        <v>14</v>
      </c>
      <c r="P263" s="30">
        <f t="shared" si="48"/>
        <v>0.6</v>
      </c>
    </row>
    <row r="264" spans="1:16" ht="24" customHeight="1" x14ac:dyDescent="0.25">
      <c r="A264" s="27">
        <v>8</v>
      </c>
      <c r="B264" s="122" t="s">
        <v>182</v>
      </c>
      <c r="C264" s="71" t="s">
        <v>20</v>
      </c>
      <c r="D264" s="123">
        <v>30</v>
      </c>
      <c r="E264" s="30">
        <v>2.2999999999999998</v>
      </c>
      <c r="F264" s="30">
        <v>0.20000000000000004</v>
      </c>
      <c r="G264" s="30">
        <v>14.8</v>
      </c>
      <c r="H264" s="30">
        <v>0</v>
      </c>
      <c r="I264" s="30">
        <v>0</v>
      </c>
      <c r="J264" s="30">
        <v>0</v>
      </c>
      <c r="K264" s="30">
        <v>0</v>
      </c>
      <c r="L264" s="30">
        <v>0.3</v>
      </c>
      <c r="M264" s="30">
        <v>6</v>
      </c>
      <c r="N264" s="30">
        <v>19.5</v>
      </c>
      <c r="O264" s="30">
        <v>4.2</v>
      </c>
      <c r="P264" s="30">
        <v>0.3</v>
      </c>
    </row>
    <row r="265" spans="1:16" ht="21.75" customHeight="1" x14ac:dyDescent="0.25">
      <c r="B265" s="110" t="s">
        <v>173</v>
      </c>
      <c r="C265" s="71" t="s">
        <v>51</v>
      </c>
      <c r="D265" s="35">
        <v>200</v>
      </c>
      <c r="E265" s="30">
        <v>0.16</v>
      </c>
      <c r="F265" s="30">
        <v>0.16</v>
      </c>
      <c r="G265" s="30">
        <v>19.88</v>
      </c>
      <c r="H265" s="30">
        <v>81.599999999999994</v>
      </c>
      <c r="I265" s="30">
        <v>0.02</v>
      </c>
      <c r="J265" s="30">
        <v>0.9</v>
      </c>
      <c r="K265" s="30">
        <v>0</v>
      </c>
      <c r="L265" s="30">
        <v>0.08</v>
      </c>
      <c r="M265" s="30">
        <v>13.94</v>
      </c>
      <c r="N265" s="30">
        <v>4.4000000000000004</v>
      </c>
      <c r="O265" s="30">
        <v>5.14</v>
      </c>
      <c r="P265" s="30">
        <v>0.93600000000000005</v>
      </c>
    </row>
    <row r="266" spans="1:16" ht="17.45" customHeight="1" x14ac:dyDescent="0.25">
      <c r="A266" s="27">
        <v>8</v>
      </c>
      <c r="B266" s="114"/>
      <c r="C266" s="114" t="s">
        <v>18</v>
      </c>
      <c r="D266" s="115"/>
      <c r="E266" s="114">
        <f>SUM(E260+E263+E264+E265)</f>
        <v>11.330000000000002</v>
      </c>
      <c r="F266" s="114">
        <f t="shared" ref="F266:P266" si="49">SUM(F260+F263+F264+F265)</f>
        <v>10.479999999999999</v>
      </c>
      <c r="G266" s="114">
        <f t="shared" si="49"/>
        <v>39.82</v>
      </c>
      <c r="H266" s="114">
        <f t="shared" si="49"/>
        <v>264.60000000000002</v>
      </c>
      <c r="I266" s="114">
        <f t="shared" si="49"/>
        <v>0.111</v>
      </c>
      <c r="J266" s="114">
        <f t="shared" si="49"/>
        <v>8.5</v>
      </c>
      <c r="K266" s="114">
        <f t="shared" si="49"/>
        <v>1.43</v>
      </c>
      <c r="L266" s="114">
        <f t="shared" si="49"/>
        <v>3.17</v>
      </c>
      <c r="M266" s="114">
        <f t="shared" si="49"/>
        <v>90.58</v>
      </c>
      <c r="N266" s="114">
        <f t="shared" si="49"/>
        <v>85.43</v>
      </c>
      <c r="O266" s="114">
        <f t="shared" si="49"/>
        <v>36.409999999999997</v>
      </c>
      <c r="P266" s="114">
        <f t="shared" si="49"/>
        <v>3.5859999999999999</v>
      </c>
    </row>
    <row r="267" spans="1:16" ht="18.600000000000001" customHeight="1" x14ac:dyDescent="0.25">
      <c r="A267" s="27">
        <v>8</v>
      </c>
      <c r="B267" s="66"/>
      <c r="C267" s="66" t="s">
        <v>33</v>
      </c>
      <c r="D267" s="67"/>
      <c r="E267" s="66">
        <f>SUM(E247+E258+E266)</f>
        <v>56.176666666666662</v>
      </c>
      <c r="F267" s="118">
        <f t="shared" ref="F267:P267" si="50">SUM(F247+F258+F266)</f>
        <v>55.66566666666666</v>
      </c>
      <c r="G267" s="118">
        <f t="shared" si="50"/>
        <v>254.76533333333333</v>
      </c>
      <c r="H267" s="118">
        <f t="shared" si="50"/>
        <v>1768.567</v>
      </c>
      <c r="I267" s="118">
        <f t="shared" si="50"/>
        <v>0.64999999999999991</v>
      </c>
      <c r="J267" s="118">
        <f t="shared" si="50"/>
        <v>49.730000000000004</v>
      </c>
      <c r="K267" s="118">
        <f t="shared" si="50"/>
        <v>53.938000000000002</v>
      </c>
      <c r="L267" s="118">
        <f t="shared" si="50"/>
        <v>15.908999999999999</v>
      </c>
      <c r="M267" s="118">
        <f t="shared" si="50"/>
        <v>461.41699999999997</v>
      </c>
      <c r="N267" s="118">
        <f t="shared" si="50"/>
        <v>777.49099999999999</v>
      </c>
      <c r="O267" s="118">
        <f t="shared" si="50"/>
        <v>416.471</v>
      </c>
      <c r="P267" s="118">
        <f t="shared" si="50"/>
        <v>14.721000000000002</v>
      </c>
    </row>
    <row r="268" spans="1:16" s="36" customFormat="1" ht="20.100000000000001" customHeight="1" x14ac:dyDescent="0.3">
      <c r="B268" s="41"/>
      <c r="C268" s="41"/>
      <c r="D268" s="46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</row>
    <row r="269" spans="1:16" s="36" customFormat="1" ht="20.100000000000001" customHeight="1" x14ac:dyDescent="0.3">
      <c r="B269" s="39" t="s">
        <v>123</v>
      </c>
      <c r="C269" s="38"/>
      <c r="D269" s="46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</row>
    <row r="270" spans="1:16" s="36" customFormat="1" ht="20.100000000000001" customHeight="1" x14ac:dyDescent="0.3">
      <c r="B270" s="39" t="s">
        <v>120</v>
      </c>
      <c r="C270" s="38"/>
      <c r="D270" s="46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</row>
    <row r="271" spans="1:16" s="36" customFormat="1" ht="20.100000000000001" customHeight="1" x14ac:dyDescent="0.3">
      <c r="B271" s="39" t="s">
        <v>306</v>
      </c>
      <c r="C271" s="38"/>
      <c r="D271" s="46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</row>
    <row r="272" spans="1:16" s="36" customFormat="1" ht="20.100000000000001" customHeight="1" x14ac:dyDescent="0.3">
      <c r="B272" s="41"/>
      <c r="C272" s="41"/>
      <c r="D272" s="46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</row>
    <row r="273" spans="1:16" s="36" customFormat="1" ht="33.75" customHeight="1" x14ac:dyDescent="0.3">
      <c r="B273" s="134" t="s">
        <v>0</v>
      </c>
      <c r="C273" s="134" t="s">
        <v>1</v>
      </c>
      <c r="D273" s="135" t="s">
        <v>2</v>
      </c>
      <c r="E273" s="132" t="s">
        <v>3</v>
      </c>
      <c r="F273" s="132"/>
      <c r="G273" s="132"/>
      <c r="H273" s="132" t="s">
        <v>4</v>
      </c>
      <c r="I273" s="132" t="s">
        <v>5</v>
      </c>
      <c r="J273" s="132"/>
      <c r="K273" s="132"/>
      <c r="L273" s="132"/>
      <c r="M273" s="132" t="s">
        <v>6</v>
      </c>
      <c r="N273" s="132"/>
      <c r="O273" s="132"/>
      <c r="P273" s="132"/>
    </row>
    <row r="274" spans="1:16" s="36" customFormat="1" ht="41.25" customHeight="1" x14ac:dyDescent="0.3">
      <c r="B274" s="134"/>
      <c r="C274" s="134"/>
      <c r="D274" s="135"/>
      <c r="E274" s="66" t="s">
        <v>7</v>
      </c>
      <c r="F274" s="66" t="s">
        <v>8</v>
      </c>
      <c r="G274" s="66" t="s">
        <v>9</v>
      </c>
      <c r="H274" s="132"/>
      <c r="I274" s="66" t="s">
        <v>114</v>
      </c>
      <c r="J274" s="66" t="s">
        <v>10</v>
      </c>
      <c r="K274" s="66" t="s">
        <v>11</v>
      </c>
      <c r="L274" s="66" t="s">
        <v>12</v>
      </c>
      <c r="M274" s="66" t="s">
        <v>13</v>
      </c>
      <c r="N274" s="66" t="s">
        <v>14</v>
      </c>
      <c r="O274" s="66" t="s">
        <v>15</v>
      </c>
      <c r="P274" s="66" t="s">
        <v>16</v>
      </c>
    </row>
    <row r="275" spans="1:16" ht="20.100000000000001" customHeight="1" x14ac:dyDescent="0.25">
      <c r="A275" s="27">
        <v>9</v>
      </c>
      <c r="B275" s="132" t="s">
        <v>17</v>
      </c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</row>
    <row r="276" spans="1:16" ht="39.6" customHeight="1" x14ac:dyDescent="0.25">
      <c r="B276" s="122" t="s">
        <v>194</v>
      </c>
      <c r="C276" s="71" t="s">
        <v>208</v>
      </c>
      <c r="D276" s="123" t="s">
        <v>310</v>
      </c>
      <c r="E276" s="30">
        <v>12.474</v>
      </c>
      <c r="F276" s="30">
        <v>7.35</v>
      </c>
      <c r="G276" s="30">
        <v>44.94</v>
      </c>
      <c r="H276" s="30">
        <v>321.51</v>
      </c>
      <c r="I276" s="30">
        <v>0.14700000000000002</v>
      </c>
      <c r="J276" s="30">
        <v>2.4359999999999999</v>
      </c>
      <c r="K276" s="30">
        <v>8.4000000000000005E-2</v>
      </c>
      <c r="L276" s="30">
        <v>2.7510000000000003</v>
      </c>
      <c r="M276" s="30">
        <v>100.8</v>
      </c>
      <c r="N276" s="30">
        <v>128.72999999999999</v>
      </c>
      <c r="O276" s="30">
        <v>30.45</v>
      </c>
      <c r="P276" s="30">
        <v>36.854999999999997</v>
      </c>
    </row>
    <row r="277" spans="1:16" ht="22.15" customHeight="1" x14ac:dyDescent="0.25">
      <c r="B277" s="122" t="s">
        <v>209</v>
      </c>
      <c r="C277" s="71" t="s">
        <v>210</v>
      </c>
      <c r="D277" s="123">
        <v>200</v>
      </c>
      <c r="E277" s="30">
        <v>16.754999999999999</v>
      </c>
      <c r="F277" s="30">
        <v>15.75</v>
      </c>
      <c r="G277" s="30">
        <v>3.0149999999999992</v>
      </c>
      <c r="H277" s="30">
        <v>333.28500000000003</v>
      </c>
      <c r="I277" s="30">
        <v>1.0200000000000002</v>
      </c>
      <c r="J277" s="30">
        <v>7.4999999999999997E-2</v>
      </c>
      <c r="K277" s="30">
        <v>5.04</v>
      </c>
      <c r="L277" s="30">
        <v>9.3149999999999995</v>
      </c>
      <c r="M277" s="30">
        <v>101.91</v>
      </c>
      <c r="N277" s="30">
        <v>20.100000000000001</v>
      </c>
      <c r="O277" s="30">
        <v>173.05500000000001</v>
      </c>
      <c r="P277" s="30">
        <v>2.2949999999999999</v>
      </c>
    </row>
    <row r="278" spans="1:16" ht="18.75" customHeight="1" x14ac:dyDescent="0.25">
      <c r="B278" s="61"/>
      <c r="C278" s="71" t="s">
        <v>172</v>
      </c>
      <c r="D278" s="67"/>
      <c r="E278" s="69">
        <f>SUM(E276:E277)/2</f>
        <v>14.6145</v>
      </c>
      <c r="F278" s="69">
        <f t="shared" ref="F278:P278" si="51">SUM(F276:F277)/2</f>
        <v>11.55</v>
      </c>
      <c r="G278" s="69">
        <f t="shared" si="51"/>
        <v>23.977499999999999</v>
      </c>
      <c r="H278" s="69">
        <f t="shared" si="51"/>
        <v>327.39750000000004</v>
      </c>
      <c r="I278" s="69">
        <f t="shared" si="51"/>
        <v>0.58350000000000013</v>
      </c>
      <c r="J278" s="69">
        <f t="shared" si="51"/>
        <v>1.2555000000000001</v>
      </c>
      <c r="K278" s="69">
        <f t="shared" si="51"/>
        <v>2.5619999999999998</v>
      </c>
      <c r="L278" s="69">
        <f t="shared" si="51"/>
        <v>6.0329999999999995</v>
      </c>
      <c r="M278" s="69">
        <f t="shared" si="51"/>
        <v>101.35499999999999</v>
      </c>
      <c r="N278" s="69">
        <f t="shared" si="51"/>
        <v>74.414999999999992</v>
      </c>
      <c r="O278" s="69">
        <f t="shared" si="51"/>
        <v>101.7525</v>
      </c>
      <c r="P278" s="69">
        <f t="shared" si="51"/>
        <v>19.574999999999999</v>
      </c>
    </row>
    <row r="279" spans="1:16" s="68" customFormat="1" ht="18.75" customHeight="1" x14ac:dyDescent="0.25">
      <c r="B279" s="118" t="s">
        <v>187</v>
      </c>
      <c r="C279" s="71" t="s">
        <v>24</v>
      </c>
      <c r="D279" s="119">
        <v>30</v>
      </c>
      <c r="E279" s="30">
        <v>2.4</v>
      </c>
      <c r="F279" s="30">
        <v>7.4999999999999997E-2</v>
      </c>
      <c r="G279" s="30">
        <v>15.9</v>
      </c>
      <c r="H279" s="30">
        <v>81</v>
      </c>
      <c r="I279" s="30">
        <v>0.06</v>
      </c>
      <c r="J279" s="30">
        <v>1.2</v>
      </c>
      <c r="K279" s="30">
        <v>0</v>
      </c>
      <c r="L279" s="30">
        <v>0</v>
      </c>
      <c r="M279" s="30">
        <v>11.4</v>
      </c>
      <c r="N279" s="30">
        <v>39</v>
      </c>
      <c r="O279" s="30">
        <v>7.8</v>
      </c>
      <c r="P279" s="30">
        <v>0.75</v>
      </c>
    </row>
    <row r="280" spans="1:16" ht="26.45" customHeight="1" x14ac:dyDescent="0.25">
      <c r="A280" s="27">
        <v>9</v>
      </c>
      <c r="B280" s="118" t="s">
        <v>211</v>
      </c>
      <c r="C280" s="71" t="s">
        <v>245</v>
      </c>
      <c r="D280" s="119">
        <v>10</v>
      </c>
      <c r="E280" s="30">
        <v>0.25</v>
      </c>
      <c r="F280" s="30">
        <v>5.3</v>
      </c>
      <c r="G280" s="30">
        <v>1.89</v>
      </c>
      <c r="H280" s="30">
        <v>56</v>
      </c>
      <c r="I280" s="30">
        <v>1E-3</v>
      </c>
      <c r="J280" s="30">
        <v>0</v>
      </c>
      <c r="K280" s="30">
        <v>0.04</v>
      </c>
      <c r="L280" s="30">
        <v>0.1</v>
      </c>
      <c r="M280" s="30">
        <v>2.4</v>
      </c>
      <c r="N280" s="30">
        <v>3</v>
      </c>
      <c r="O280" s="30">
        <v>0</v>
      </c>
      <c r="P280" s="30">
        <v>0.02</v>
      </c>
    </row>
    <row r="281" spans="1:16" s="68" customFormat="1" ht="22.15" customHeight="1" x14ac:dyDescent="0.25">
      <c r="B281" s="61"/>
      <c r="C281" s="71" t="s">
        <v>174</v>
      </c>
      <c r="D281" s="87">
        <v>150</v>
      </c>
      <c r="E281" s="69">
        <v>1.3999999999999997</v>
      </c>
      <c r="F281" s="69">
        <v>0.20000000000000004</v>
      </c>
      <c r="G281" s="69">
        <v>14.3</v>
      </c>
      <c r="H281" s="69">
        <v>70.5</v>
      </c>
      <c r="I281" s="69">
        <v>5.9999999999999991E-2</v>
      </c>
      <c r="J281" s="69">
        <v>15</v>
      </c>
      <c r="K281" s="69">
        <v>0</v>
      </c>
      <c r="L281" s="69">
        <v>1.7</v>
      </c>
      <c r="M281" s="69">
        <v>30</v>
      </c>
      <c r="N281" s="69">
        <v>51</v>
      </c>
      <c r="O281" s="69">
        <v>24</v>
      </c>
      <c r="P281" s="69">
        <v>0.9</v>
      </c>
    </row>
    <row r="282" spans="1:16" ht="20.100000000000001" customHeight="1" x14ac:dyDescent="0.25">
      <c r="A282" s="27">
        <v>9</v>
      </c>
      <c r="B282" s="118" t="s">
        <v>224</v>
      </c>
      <c r="C282" s="71" t="s">
        <v>56</v>
      </c>
      <c r="D282" s="119">
        <v>200</v>
      </c>
      <c r="E282" s="30">
        <v>4.08</v>
      </c>
      <c r="F282" s="30">
        <v>3.54</v>
      </c>
      <c r="G282" s="30">
        <v>17.579999999999998</v>
      </c>
      <c r="H282" s="30">
        <v>118.5</v>
      </c>
      <c r="I282" s="30">
        <v>0.06</v>
      </c>
      <c r="J282" s="30">
        <v>1.58</v>
      </c>
      <c r="K282" s="30">
        <v>0.02</v>
      </c>
      <c r="L282" s="30">
        <v>0</v>
      </c>
      <c r="M282" s="30">
        <v>152.22</v>
      </c>
      <c r="N282" s="30">
        <v>124.56</v>
      </c>
      <c r="O282" s="30">
        <v>21.34</v>
      </c>
      <c r="P282" s="30">
        <v>0.48</v>
      </c>
    </row>
    <row r="283" spans="1:16" ht="20.100000000000001" customHeight="1" x14ac:dyDescent="0.25">
      <c r="A283" s="27">
        <v>9</v>
      </c>
      <c r="B283" s="114"/>
      <c r="C283" s="114" t="s">
        <v>18</v>
      </c>
      <c r="D283" s="115"/>
      <c r="E283" s="114">
        <f>SUM(E278+E279+E280+E281+E282)</f>
        <v>22.744499999999995</v>
      </c>
      <c r="F283" s="114">
        <f t="shared" ref="F283:P283" si="52">SUM(F278+F279+F280+F281+F282)</f>
        <v>20.664999999999999</v>
      </c>
      <c r="G283" s="114">
        <f t="shared" si="52"/>
        <v>73.647499999999994</v>
      </c>
      <c r="H283" s="114">
        <f t="shared" si="52"/>
        <v>653.39750000000004</v>
      </c>
      <c r="I283" s="114">
        <f t="shared" si="52"/>
        <v>0.76450000000000018</v>
      </c>
      <c r="J283" s="114">
        <f t="shared" si="52"/>
        <v>19.035499999999999</v>
      </c>
      <c r="K283" s="114">
        <f t="shared" si="52"/>
        <v>2.6219999999999999</v>
      </c>
      <c r="L283" s="114">
        <f t="shared" si="52"/>
        <v>7.8329999999999993</v>
      </c>
      <c r="M283" s="114">
        <f t="shared" si="52"/>
        <v>297.375</v>
      </c>
      <c r="N283" s="114">
        <f t="shared" si="52"/>
        <v>291.97500000000002</v>
      </c>
      <c r="O283" s="114">
        <f t="shared" si="52"/>
        <v>154.89250000000001</v>
      </c>
      <c r="P283" s="114">
        <f t="shared" si="52"/>
        <v>21.724999999999998</v>
      </c>
    </row>
    <row r="284" spans="1:16" ht="20.100000000000001" customHeight="1" x14ac:dyDescent="0.25">
      <c r="A284" s="27">
        <v>9</v>
      </c>
      <c r="B284" s="132" t="s">
        <v>19</v>
      </c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</row>
    <row r="285" spans="1:16" ht="20.100000000000001" customHeight="1" x14ac:dyDescent="0.25">
      <c r="A285" s="27">
        <v>9</v>
      </c>
      <c r="B285" s="122" t="s">
        <v>203</v>
      </c>
      <c r="C285" s="71" t="s">
        <v>161</v>
      </c>
      <c r="D285" s="123">
        <v>100</v>
      </c>
      <c r="E285" s="30">
        <v>1.4</v>
      </c>
      <c r="F285" s="30">
        <v>6</v>
      </c>
      <c r="G285" s="30">
        <v>8.3000000000000007</v>
      </c>
      <c r="H285" s="30">
        <v>92.800000000000011</v>
      </c>
      <c r="I285" s="30">
        <v>0</v>
      </c>
      <c r="J285" s="30">
        <v>0.02</v>
      </c>
      <c r="K285" s="30">
        <v>9.83</v>
      </c>
      <c r="L285" s="30">
        <v>1.42</v>
      </c>
      <c r="M285" s="30">
        <v>42.53</v>
      </c>
      <c r="N285" s="30">
        <v>22</v>
      </c>
      <c r="O285" s="30">
        <v>43.59</v>
      </c>
      <c r="P285" s="30">
        <v>1.43</v>
      </c>
    </row>
    <row r="286" spans="1:16" ht="36.75" customHeight="1" x14ac:dyDescent="0.25">
      <c r="A286" s="27">
        <v>9</v>
      </c>
      <c r="B286" s="122" t="s">
        <v>171</v>
      </c>
      <c r="C286" s="71" t="s">
        <v>162</v>
      </c>
      <c r="D286" s="123" t="s">
        <v>316</v>
      </c>
      <c r="E286" s="30">
        <v>1.75</v>
      </c>
      <c r="F286" s="30">
        <v>5</v>
      </c>
      <c r="G286" s="30">
        <v>8</v>
      </c>
      <c r="H286" s="30">
        <v>89.75</v>
      </c>
      <c r="I286" s="30">
        <v>0</v>
      </c>
      <c r="J286" s="30">
        <v>0</v>
      </c>
      <c r="K286" s="30">
        <v>15.75</v>
      </c>
      <c r="L286" s="30">
        <v>2.25</v>
      </c>
      <c r="M286" s="30">
        <v>49.25</v>
      </c>
      <c r="N286" s="30">
        <v>22.25</v>
      </c>
      <c r="O286" s="30">
        <v>49</v>
      </c>
      <c r="P286" s="30">
        <v>0.75</v>
      </c>
    </row>
    <row r="287" spans="1:16" ht="20.100000000000001" customHeight="1" x14ac:dyDescent="0.25">
      <c r="A287" s="27">
        <v>9</v>
      </c>
      <c r="B287" s="122" t="s">
        <v>204</v>
      </c>
      <c r="C287" s="71" t="s">
        <v>54</v>
      </c>
      <c r="D287" s="123">
        <v>100</v>
      </c>
      <c r="E287" s="30">
        <v>17.8</v>
      </c>
      <c r="F287" s="30">
        <v>15.4</v>
      </c>
      <c r="G287" s="30">
        <v>9.5</v>
      </c>
      <c r="H287" s="30">
        <v>240.3</v>
      </c>
      <c r="I287" s="30">
        <v>0.1</v>
      </c>
      <c r="J287" s="30">
        <v>0.1</v>
      </c>
      <c r="K287" s="30">
        <v>0.4</v>
      </c>
      <c r="L287" s="30">
        <v>2.1</v>
      </c>
      <c r="M287" s="30">
        <v>24.4</v>
      </c>
      <c r="N287" s="30">
        <v>18.899999999999999</v>
      </c>
      <c r="O287" s="30">
        <v>163.4</v>
      </c>
      <c r="P287" s="30">
        <v>2</v>
      </c>
    </row>
    <row r="288" spans="1:16" ht="20.100000000000001" customHeight="1" x14ac:dyDescent="0.25">
      <c r="B288" s="43" t="s">
        <v>304</v>
      </c>
      <c r="C288" s="50" t="s">
        <v>303</v>
      </c>
      <c r="D288" s="49">
        <v>180</v>
      </c>
      <c r="E288" s="30">
        <v>6.6239999999999997</v>
      </c>
      <c r="F288" s="30">
        <v>5.4179999999999993</v>
      </c>
      <c r="G288" s="30">
        <v>28.134</v>
      </c>
      <c r="H288" s="30">
        <v>249.858</v>
      </c>
      <c r="I288" s="30">
        <v>7.2000000000000008E-2</v>
      </c>
      <c r="J288" s="30">
        <v>0</v>
      </c>
      <c r="K288" s="30">
        <v>0.18</v>
      </c>
      <c r="L288" s="30">
        <v>1.17</v>
      </c>
      <c r="M288" s="30">
        <v>5.8320000000000007</v>
      </c>
      <c r="N288" s="30">
        <v>44.604000000000006</v>
      </c>
      <c r="O288" s="30">
        <v>25.344000000000001</v>
      </c>
      <c r="P288" s="30">
        <v>1.3319999999999999</v>
      </c>
    </row>
    <row r="289" spans="1:16" s="68" customFormat="1" ht="20.100000000000001" customHeight="1" x14ac:dyDescent="0.25">
      <c r="B289" s="118" t="s">
        <v>173</v>
      </c>
      <c r="C289" s="71" t="s">
        <v>51</v>
      </c>
      <c r="D289" s="35">
        <v>200</v>
      </c>
      <c r="E289" s="30">
        <v>0.16</v>
      </c>
      <c r="F289" s="30">
        <v>0.16</v>
      </c>
      <c r="G289" s="30">
        <v>19.88</v>
      </c>
      <c r="H289" s="30">
        <v>81.599999999999994</v>
      </c>
      <c r="I289" s="30">
        <v>0.02</v>
      </c>
      <c r="J289" s="30">
        <v>0.9</v>
      </c>
      <c r="K289" s="30">
        <v>0</v>
      </c>
      <c r="L289" s="30">
        <v>0.08</v>
      </c>
      <c r="M289" s="30">
        <v>13.94</v>
      </c>
      <c r="N289" s="30">
        <v>4.4000000000000004</v>
      </c>
      <c r="O289" s="30">
        <v>5.14</v>
      </c>
      <c r="P289" s="30">
        <v>0.93600000000000005</v>
      </c>
    </row>
    <row r="290" spans="1:16" ht="20.100000000000001" customHeight="1" x14ac:dyDescent="0.25">
      <c r="A290" s="27">
        <v>9</v>
      </c>
      <c r="B290" s="122" t="s">
        <v>182</v>
      </c>
      <c r="C290" s="71" t="s">
        <v>20</v>
      </c>
      <c r="D290" s="123">
        <v>40</v>
      </c>
      <c r="E290" s="30">
        <v>3.0666666666666664</v>
      </c>
      <c r="F290" s="30">
        <v>0.26666666666666672</v>
      </c>
      <c r="G290" s="30">
        <v>19.733333333333334</v>
      </c>
      <c r="H290" s="30">
        <v>94</v>
      </c>
      <c r="I290" s="30">
        <v>0</v>
      </c>
      <c r="J290" s="30">
        <v>0</v>
      </c>
      <c r="K290" s="30">
        <v>0</v>
      </c>
      <c r="L290" s="30">
        <v>0.4</v>
      </c>
      <c r="M290" s="30">
        <v>8</v>
      </c>
      <c r="N290" s="30">
        <v>26</v>
      </c>
      <c r="O290" s="30">
        <v>5.6000000000000014</v>
      </c>
      <c r="P290" s="30">
        <v>0.4</v>
      </c>
    </row>
    <row r="291" spans="1:16" ht="20.100000000000001" customHeight="1" x14ac:dyDescent="0.25">
      <c r="A291" s="27">
        <v>9</v>
      </c>
      <c r="B291" s="122" t="s">
        <v>191</v>
      </c>
      <c r="C291" s="71" t="s">
        <v>21</v>
      </c>
      <c r="D291" s="123">
        <v>50</v>
      </c>
      <c r="E291" s="30">
        <v>3.25</v>
      </c>
      <c r="F291" s="30">
        <v>0.625</v>
      </c>
      <c r="G291" s="30">
        <v>19.75</v>
      </c>
      <c r="H291" s="30">
        <v>99</v>
      </c>
      <c r="I291" s="30">
        <v>0.125</v>
      </c>
      <c r="J291" s="30">
        <v>0</v>
      </c>
      <c r="K291" s="30">
        <v>0</v>
      </c>
      <c r="L291" s="30">
        <v>0.75</v>
      </c>
      <c r="M291" s="30">
        <v>14.499999999999998</v>
      </c>
      <c r="N291" s="30">
        <v>75</v>
      </c>
      <c r="O291" s="30">
        <v>23.5</v>
      </c>
      <c r="P291" s="30">
        <v>2</v>
      </c>
    </row>
    <row r="292" spans="1:16" ht="20.100000000000001" customHeight="1" x14ac:dyDescent="0.25">
      <c r="A292" s="27">
        <v>9</v>
      </c>
      <c r="B292" s="114"/>
      <c r="C292" s="114" t="s">
        <v>18</v>
      </c>
      <c r="D292" s="115"/>
      <c r="E292" s="114">
        <f>SUM(E285:E291)</f>
        <v>34.050666666666665</v>
      </c>
      <c r="F292" s="114">
        <f t="shared" ref="F292:P292" si="53">SUM(F285:F291)</f>
        <v>32.869666666666667</v>
      </c>
      <c r="G292" s="114">
        <f t="shared" si="53"/>
        <v>113.29733333333333</v>
      </c>
      <c r="H292" s="114">
        <f t="shared" si="53"/>
        <v>947.30800000000011</v>
      </c>
      <c r="I292" s="114">
        <f t="shared" si="53"/>
        <v>0.317</v>
      </c>
      <c r="J292" s="114">
        <f t="shared" si="53"/>
        <v>1.02</v>
      </c>
      <c r="K292" s="114">
        <f t="shared" si="53"/>
        <v>26.159999999999997</v>
      </c>
      <c r="L292" s="114">
        <f t="shared" si="53"/>
        <v>8.17</v>
      </c>
      <c r="M292" s="114">
        <f t="shared" si="53"/>
        <v>158.452</v>
      </c>
      <c r="N292" s="114">
        <f t="shared" si="53"/>
        <v>213.154</v>
      </c>
      <c r="O292" s="114">
        <f t="shared" si="53"/>
        <v>315.57400000000001</v>
      </c>
      <c r="P292" s="114">
        <f t="shared" si="53"/>
        <v>8.847999999999999</v>
      </c>
    </row>
    <row r="293" spans="1:16" ht="15" customHeight="1" x14ac:dyDescent="0.25">
      <c r="A293" s="27">
        <v>9</v>
      </c>
      <c r="B293" s="132" t="s">
        <v>22</v>
      </c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</row>
    <row r="294" spans="1:16" ht="21" customHeight="1" x14ac:dyDescent="0.25">
      <c r="A294" s="27">
        <v>9</v>
      </c>
      <c r="B294" s="122" t="s">
        <v>226</v>
      </c>
      <c r="C294" s="71" t="s">
        <v>225</v>
      </c>
      <c r="D294" s="123" t="s">
        <v>310</v>
      </c>
      <c r="E294" s="30">
        <v>14.741999999999997</v>
      </c>
      <c r="F294" s="30">
        <v>21.524999999999999</v>
      </c>
      <c r="G294" s="30">
        <v>64.028999999999996</v>
      </c>
      <c r="H294" s="30">
        <v>508.80900000000003</v>
      </c>
      <c r="I294" s="30">
        <v>0.29400000000000004</v>
      </c>
      <c r="J294" s="30">
        <v>0.77700000000000002</v>
      </c>
      <c r="K294" s="30">
        <v>4.2000000000000003E-2</v>
      </c>
      <c r="L294" s="30">
        <v>6.2579999999999991</v>
      </c>
      <c r="M294" s="30">
        <v>165.102</v>
      </c>
      <c r="N294" s="30">
        <v>230.34899999999999</v>
      </c>
      <c r="O294" s="30">
        <v>63.650999999999996</v>
      </c>
      <c r="P294" s="30">
        <v>2.7510000000000003</v>
      </c>
    </row>
    <row r="295" spans="1:16" ht="20.100000000000001" customHeight="1" x14ac:dyDescent="0.25">
      <c r="A295" s="27">
        <v>9</v>
      </c>
      <c r="B295" s="61" t="s">
        <v>192</v>
      </c>
      <c r="C295" s="37" t="s">
        <v>55</v>
      </c>
      <c r="D295" s="67">
        <v>200</v>
      </c>
      <c r="E295" s="30">
        <v>0.57999999999999996</v>
      </c>
      <c r="F295" s="30">
        <v>0.06</v>
      </c>
      <c r="G295" s="30">
        <v>30.2</v>
      </c>
      <c r="H295" s="30">
        <v>123.66</v>
      </c>
      <c r="I295" s="30">
        <v>0</v>
      </c>
      <c r="J295" s="30">
        <v>1.1000000000000001</v>
      </c>
      <c r="K295" s="30">
        <v>0</v>
      </c>
      <c r="L295" s="30">
        <v>0.18</v>
      </c>
      <c r="M295" s="30">
        <v>15.7</v>
      </c>
      <c r="N295" s="30">
        <v>16.32</v>
      </c>
      <c r="O295" s="30">
        <v>3.36</v>
      </c>
      <c r="P295" s="30">
        <v>0.38</v>
      </c>
    </row>
    <row r="296" spans="1:16" ht="18" customHeight="1" x14ac:dyDescent="0.25">
      <c r="A296" s="27">
        <v>9</v>
      </c>
      <c r="B296" s="120"/>
      <c r="C296" s="114" t="s">
        <v>18</v>
      </c>
      <c r="D296" s="115"/>
      <c r="E296" s="114">
        <f>SUM(E294:E295)</f>
        <v>15.321999999999997</v>
      </c>
      <c r="F296" s="114">
        <f t="shared" ref="F296:P296" si="54">SUM(F294:F295)</f>
        <v>21.584999999999997</v>
      </c>
      <c r="G296" s="114">
        <f t="shared" si="54"/>
        <v>94.228999999999999</v>
      </c>
      <c r="H296" s="114">
        <f t="shared" si="54"/>
        <v>632.46900000000005</v>
      </c>
      <c r="I296" s="114">
        <f t="shared" si="54"/>
        <v>0.29400000000000004</v>
      </c>
      <c r="J296" s="114">
        <f t="shared" si="54"/>
        <v>1.8770000000000002</v>
      </c>
      <c r="K296" s="114">
        <f t="shared" si="54"/>
        <v>4.2000000000000003E-2</v>
      </c>
      <c r="L296" s="114">
        <f t="shared" si="54"/>
        <v>6.4379999999999988</v>
      </c>
      <c r="M296" s="114">
        <f t="shared" si="54"/>
        <v>180.80199999999999</v>
      </c>
      <c r="N296" s="114">
        <f t="shared" si="54"/>
        <v>246.66899999999998</v>
      </c>
      <c r="O296" s="114">
        <f t="shared" si="54"/>
        <v>67.010999999999996</v>
      </c>
      <c r="P296" s="114">
        <f t="shared" si="54"/>
        <v>3.1310000000000002</v>
      </c>
    </row>
    <row r="297" spans="1:16" ht="20.100000000000001" customHeight="1" x14ac:dyDescent="0.25">
      <c r="A297" s="27">
        <v>9</v>
      </c>
      <c r="B297" s="66"/>
      <c r="C297" s="66" t="s">
        <v>34</v>
      </c>
      <c r="D297" s="67"/>
      <c r="E297" s="66">
        <f>SUM(E283+E292+E296)</f>
        <v>72.117166666666662</v>
      </c>
      <c r="F297" s="118">
        <f t="shared" ref="F297:P297" si="55">SUM(F283+F292+F296)</f>
        <v>75.11966666666666</v>
      </c>
      <c r="G297" s="118">
        <f t="shared" si="55"/>
        <v>281.17383333333333</v>
      </c>
      <c r="H297" s="118">
        <f t="shared" si="55"/>
        <v>2233.1745000000001</v>
      </c>
      <c r="I297" s="118">
        <f t="shared" si="55"/>
        <v>1.3755000000000002</v>
      </c>
      <c r="J297" s="118">
        <f t="shared" si="55"/>
        <v>21.932499999999997</v>
      </c>
      <c r="K297" s="118">
        <f t="shared" si="55"/>
        <v>28.823999999999998</v>
      </c>
      <c r="L297" s="118">
        <f t="shared" si="55"/>
        <v>22.440999999999999</v>
      </c>
      <c r="M297" s="118">
        <f t="shared" si="55"/>
        <v>636.62900000000002</v>
      </c>
      <c r="N297" s="118">
        <f t="shared" si="55"/>
        <v>751.798</v>
      </c>
      <c r="O297" s="118">
        <f t="shared" si="55"/>
        <v>537.47749999999996</v>
      </c>
      <c r="P297" s="118">
        <f t="shared" si="55"/>
        <v>33.703999999999994</v>
      </c>
    </row>
    <row r="298" spans="1:16" s="36" customFormat="1" ht="20.100000000000001" customHeight="1" x14ac:dyDescent="0.3">
      <c r="B298" s="41"/>
      <c r="C298" s="41"/>
      <c r="D298" s="46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</row>
    <row r="299" spans="1:16" s="36" customFormat="1" ht="20.100000000000001" customHeight="1" x14ac:dyDescent="0.3">
      <c r="B299" s="39" t="s">
        <v>124</v>
      </c>
      <c r="C299" s="38"/>
      <c r="D299" s="46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</row>
    <row r="300" spans="1:16" s="36" customFormat="1" ht="20.100000000000001" customHeight="1" x14ac:dyDescent="0.3">
      <c r="B300" s="39" t="s">
        <v>120</v>
      </c>
      <c r="C300" s="38"/>
      <c r="D300" s="46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</row>
    <row r="301" spans="1:16" s="36" customFormat="1" ht="20.100000000000001" customHeight="1" x14ac:dyDescent="0.3">
      <c r="B301" s="39" t="s">
        <v>306</v>
      </c>
      <c r="C301" s="38"/>
      <c r="D301" s="46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</row>
    <row r="302" spans="1:16" s="36" customFormat="1" ht="37.5" customHeight="1" x14ac:dyDescent="0.3">
      <c r="B302" s="134" t="s">
        <v>0</v>
      </c>
      <c r="C302" s="134" t="s">
        <v>284</v>
      </c>
      <c r="D302" s="135" t="s">
        <v>2</v>
      </c>
      <c r="E302" s="132" t="s">
        <v>3</v>
      </c>
      <c r="F302" s="132"/>
      <c r="G302" s="132"/>
      <c r="H302" s="132" t="s">
        <v>4</v>
      </c>
      <c r="I302" s="132" t="s">
        <v>5</v>
      </c>
      <c r="J302" s="132"/>
      <c r="K302" s="132"/>
      <c r="L302" s="132"/>
      <c r="M302" s="132" t="s">
        <v>6</v>
      </c>
      <c r="N302" s="132"/>
      <c r="O302" s="132"/>
      <c r="P302" s="132"/>
    </row>
    <row r="303" spans="1:16" s="36" customFormat="1" ht="35.450000000000003" customHeight="1" x14ac:dyDescent="0.3">
      <c r="B303" s="134"/>
      <c r="C303" s="134"/>
      <c r="D303" s="135"/>
      <c r="E303" s="66" t="s">
        <v>7</v>
      </c>
      <c r="F303" s="66" t="s">
        <v>8</v>
      </c>
      <c r="G303" s="66" t="s">
        <v>9</v>
      </c>
      <c r="H303" s="132"/>
      <c r="I303" s="66" t="s">
        <v>114</v>
      </c>
      <c r="J303" s="66" t="s">
        <v>10</v>
      </c>
      <c r="K303" s="66" t="s">
        <v>11</v>
      </c>
      <c r="L303" s="66" t="s">
        <v>12</v>
      </c>
      <c r="M303" s="66" t="s">
        <v>13</v>
      </c>
      <c r="N303" s="66" t="s">
        <v>14</v>
      </c>
      <c r="O303" s="66" t="s">
        <v>15</v>
      </c>
      <c r="P303" s="66" t="s">
        <v>16</v>
      </c>
    </row>
    <row r="304" spans="1:16" ht="15.6" customHeight="1" x14ac:dyDescent="0.25">
      <c r="A304" s="27">
        <v>10</v>
      </c>
      <c r="B304" s="132" t="s">
        <v>17</v>
      </c>
      <c r="C304" s="132"/>
      <c r="D304" s="132"/>
      <c r="E304" s="132"/>
      <c r="F304" s="132"/>
      <c r="G304" s="132"/>
      <c r="H304" s="133"/>
      <c r="I304" s="133"/>
      <c r="J304" s="133"/>
      <c r="K304" s="133"/>
      <c r="L304" s="133"/>
      <c r="M304" s="133"/>
      <c r="N304" s="133"/>
      <c r="O304" s="133"/>
      <c r="P304" s="133"/>
    </row>
    <row r="305" spans="1:16" ht="38.25" customHeight="1" x14ac:dyDescent="0.25">
      <c r="B305" s="61" t="s">
        <v>219</v>
      </c>
      <c r="C305" s="71" t="s">
        <v>220</v>
      </c>
      <c r="D305" s="72">
        <v>100</v>
      </c>
      <c r="E305" s="30">
        <v>12.37</v>
      </c>
      <c r="F305" s="30">
        <v>16.3</v>
      </c>
      <c r="G305" s="30">
        <v>3.04</v>
      </c>
      <c r="H305" s="30">
        <v>218.2</v>
      </c>
      <c r="I305" s="30">
        <v>8.1000000000000003E-2</v>
      </c>
      <c r="J305" s="30">
        <v>0.1</v>
      </c>
      <c r="K305" s="30">
        <v>1.43</v>
      </c>
      <c r="L305" s="30">
        <v>2.74</v>
      </c>
      <c r="M305" s="30">
        <v>47.49</v>
      </c>
      <c r="N305" s="30">
        <v>28.73</v>
      </c>
      <c r="O305" s="30">
        <v>13.07</v>
      </c>
      <c r="P305" s="30">
        <v>1.75</v>
      </c>
    </row>
    <row r="306" spans="1:16" ht="21.75" customHeight="1" x14ac:dyDescent="0.25">
      <c r="B306" s="61" t="s">
        <v>199</v>
      </c>
      <c r="C306" s="71" t="s">
        <v>221</v>
      </c>
      <c r="D306" s="123">
        <v>100</v>
      </c>
      <c r="E306" s="30">
        <v>0.8</v>
      </c>
      <c r="F306" s="30">
        <v>0.1</v>
      </c>
      <c r="G306" s="30">
        <v>2.5</v>
      </c>
      <c r="H306" s="30">
        <v>14.1</v>
      </c>
      <c r="I306" s="30">
        <v>0</v>
      </c>
      <c r="J306" s="30">
        <v>10</v>
      </c>
      <c r="K306" s="30">
        <v>0</v>
      </c>
      <c r="L306" s="30">
        <v>0</v>
      </c>
      <c r="M306" s="30">
        <v>23.3</v>
      </c>
      <c r="N306" s="30">
        <v>41.6</v>
      </c>
      <c r="O306" s="30">
        <v>14</v>
      </c>
      <c r="P306" s="30">
        <v>0.6</v>
      </c>
    </row>
    <row r="307" spans="1:16" s="68" customFormat="1" ht="20.25" customHeight="1" x14ac:dyDescent="0.25">
      <c r="B307" s="61" t="s">
        <v>189</v>
      </c>
      <c r="C307" s="71" t="s">
        <v>222</v>
      </c>
      <c r="D307" s="123">
        <v>100</v>
      </c>
      <c r="E307" s="30">
        <v>0.8</v>
      </c>
      <c r="F307" s="30">
        <v>0.1</v>
      </c>
      <c r="G307" s="30">
        <v>1.7</v>
      </c>
      <c r="H307" s="30">
        <v>10.9</v>
      </c>
      <c r="I307" s="30">
        <v>0.02</v>
      </c>
      <c r="J307" s="30">
        <v>5</v>
      </c>
      <c r="K307" s="30">
        <v>0</v>
      </c>
      <c r="L307" s="30">
        <v>0.1</v>
      </c>
      <c r="M307" s="30">
        <v>23</v>
      </c>
      <c r="N307" s="30">
        <v>24</v>
      </c>
      <c r="O307" s="30">
        <v>14</v>
      </c>
      <c r="P307" s="30">
        <v>0.6</v>
      </c>
    </row>
    <row r="308" spans="1:16" ht="18" customHeight="1" x14ac:dyDescent="0.25">
      <c r="B308" s="61"/>
      <c r="C308" s="71" t="s">
        <v>172</v>
      </c>
      <c r="D308" s="111"/>
      <c r="E308" s="30">
        <f>SUM(E306:E307)/2</f>
        <v>0.8</v>
      </c>
      <c r="F308" s="30">
        <f t="shared" ref="F308:P308" si="56">SUM(F306:F307)/2</f>
        <v>0.1</v>
      </c>
      <c r="G308" s="30">
        <f t="shared" si="56"/>
        <v>2.1</v>
      </c>
      <c r="H308" s="30">
        <f t="shared" si="56"/>
        <v>12.5</v>
      </c>
      <c r="I308" s="30">
        <f t="shared" si="56"/>
        <v>0.01</v>
      </c>
      <c r="J308" s="30">
        <f t="shared" si="56"/>
        <v>7.5</v>
      </c>
      <c r="K308" s="30">
        <f t="shared" si="56"/>
        <v>0</v>
      </c>
      <c r="L308" s="30">
        <f t="shared" si="56"/>
        <v>0.05</v>
      </c>
      <c r="M308" s="30">
        <f t="shared" si="56"/>
        <v>23.15</v>
      </c>
      <c r="N308" s="30">
        <f t="shared" si="56"/>
        <v>32.799999999999997</v>
      </c>
      <c r="O308" s="30">
        <f t="shared" si="56"/>
        <v>14</v>
      </c>
      <c r="P308" s="30">
        <f t="shared" si="56"/>
        <v>0.6</v>
      </c>
    </row>
    <row r="309" spans="1:16" s="68" customFormat="1" ht="18" customHeight="1" x14ac:dyDescent="0.25">
      <c r="B309" s="61" t="s">
        <v>182</v>
      </c>
      <c r="C309" s="71" t="s">
        <v>20</v>
      </c>
      <c r="D309" s="111">
        <v>30</v>
      </c>
      <c r="E309" s="30">
        <v>2.2999999999999998</v>
      </c>
      <c r="F309" s="30">
        <v>0.20000000000000004</v>
      </c>
      <c r="G309" s="30">
        <v>14.8</v>
      </c>
      <c r="H309" s="30">
        <v>70.2</v>
      </c>
      <c r="I309" s="30">
        <v>0</v>
      </c>
      <c r="J309" s="30">
        <v>0</v>
      </c>
      <c r="K309" s="30">
        <v>0</v>
      </c>
      <c r="L309" s="30">
        <v>0.3</v>
      </c>
      <c r="M309" s="30">
        <v>6</v>
      </c>
      <c r="N309" s="30">
        <v>19.5</v>
      </c>
      <c r="O309" s="30">
        <v>4.2</v>
      </c>
      <c r="P309" s="30">
        <v>0.3</v>
      </c>
    </row>
    <row r="310" spans="1:16" s="68" customFormat="1" ht="18" customHeight="1" x14ac:dyDescent="0.25">
      <c r="B310" s="61"/>
      <c r="C310" s="71" t="s">
        <v>223</v>
      </c>
      <c r="D310" s="111">
        <v>65</v>
      </c>
      <c r="E310" s="30">
        <v>2.8</v>
      </c>
      <c r="F310" s="30">
        <v>3.29</v>
      </c>
      <c r="G310" s="30">
        <v>19.46</v>
      </c>
      <c r="H310" s="30">
        <v>118.65</v>
      </c>
      <c r="I310" s="30">
        <v>4.2000000000000003E-2</v>
      </c>
      <c r="J310" s="30">
        <v>0</v>
      </c>
      <c r="K310" s="30">
        <v>7.000000000000001E-3</v>
      </c>
      <c r="L310" s="30">
        <v>1.4</v>
      </c>
      <c r="M310" s="30">
        <v>11.2</v>
      </c>
      <c r="N310" s="30">
        <v>30.8</v>
      </c>
      <c r="O310" s="30">
        <v>4.2</v>
      </c>
      <c r="P310" s="30">
        <v>0.42</v>
      </c>
    </row>
    <row r="311" spans="1:16" s="68" customFormat="1" ht="18" customHeight="1" x14ac:dyDescent="0.25">
      <c r="B311" s="61"/>
      <c r="C311" s="71" t="s">
        <v>247</v>
      </c>
      <c r="D311" s="119">
        <v>200</v>
      </c>
      <c r="E311" s="69">
        <v>11.6</v>
      </c>
      <c r="F311" s="69">
        <v>12.8</v>
      </c>
      <c r="G311" s="69">
        <v>18.8</v>
      </c>
      <c r="H311" s="69">
        <v>243.6</v>
      </c>
      <c r="I311" s="69">
        <v>0.2</v>
      </c>
      <c r="J311" s="69">
        <v>5.2</v>
      </c>
      <c r="K311" s="69">
        <v>0</v>
      </c>
      <c r="L311" s="69">
        <v>0</v>
      </c>
      <c r="M311" s="69">
        <v>480</v>
      </c>
      <c r="N311" s="69">
        <v>360</v>
      </c>
      <c r="O311" s="69">
        <v>56</v>
      </c>
      <c r="P311" s="69">
        <v>0.4</v>
      </c>
    </row>
    <row r="312" spans="1:16" ht="21.75" customHeight="1" x14ac:dyDescent="0.25">
      <c r="A312" s="27">
        <v>10</v>
      </c>
      <c r="B312" s="118" t="s">
        <v>164</v>
      </c>
      <c r="C312" s="71" t="s">
        <v>26</v>
      </c>
      <c r="D312" s="119" t="s">
        <v>127</v>
      </c>
      <c r="E312" s="30">
        <v>0.08</v>
      </c>
      <c r="F312" s="30">
        <v>0.02</v>
      </c>
      <c r="G312" s="30">
        <v>15</v>
      </c>
      <c r="H312" s="30">
        <v>60.5</v>
      </c>
      <c r="I312" s="30">
        <v>0</v>
      </c>
      <c r="J312" s="30">
        <v>0</v>
      </c>
      <c r="K312" s="30">
        <v>0.04</v>
      </c>
      <c r="L312" s="30">
        <v>0</v>
      </c>
      <c r="M312" s="30">
        <v>11.1</v>
      </c>
      <c r="N312" s="30">
        <v>1.4</v>
      </c>
      <c r="O312" s="30">
        <v>2.8</v>
      </c>
      <c r="P312" s="30">
        <v>0.28000000000000003</v>
      </c>
    </row>
    <row r="313" spans="1:16" ht="21.75" customHeight="1" x14ac:dyDescent="0.25">
      <c r="A313" s="27">
        <v>10</v>
      </c>
      <c r="B313" s="114"/>
      <c r="C313" s="114" t="s">
        <v>18</v>
      </c>
      <c r="D313" s="115"/>
      <c r="E313" s="114">
        <f>SUM(E305+E308+E309+E310+E312+E311)</f>
        <v>29.949999999999996</v>
      </c>
      <c r="F313" s="114">
        <f t="shared" ref="F313:P313" si="57">SUM(F305+F308+F309+F310+F312+F311)</f>
        <v>32.71</v>
      </c>
      <c r="G313" s="114">
        <f t="shared" si="57"/>
        <v>73.2</v>
      </c>
      <c r="H313" s="114">
        <f t="shared" si="57"/>
        <v>723.65</v>
      </c>
      <c r="I313" s="114">
        <f t="shared" si="57"/>
        <v>0.33300000000000002</v>
      </c>
      <c r="J313" s="114">
        <f t="shared" si="57"/>
        <v>12.8</v>
      </c>
      <c r="K313" s="114">
        <f t="shared" si="57"/>
        <v>1.4769999999999999</v>
      </c>
      <c r="L313" s="114">
        <f t="shared" si="57"/>
        <v>4.49</v>
      </c>
      <c r="M313" s="114">
        <f t="shared" si="57"/>
        <v>578.94000000000005</v>
      </c>
      <c r="N313" s="114">
        <f t="shared" si="57"/>
        <v>473.23</v>
      </c>
      <c r="O313" s="114">
        <f t="shared" si="57"/>
        <v>94.27</v>
      </c>
      <c r="P313" s="114">
        <f t="shared" si="57"/>
        <v>3.7499999999999996</v>
      </c>
    </row>
    <row r="314" spans="1:16" ht="20.25" customHeight="1" x14ac:dyDescent="0.25">
      <c r="A314" s="27">
        <v>10</v>
      </c>
      <c r="B314" s="132" t="s">
        <v>19</v>
      </c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</row>
    <row r="315" spans="1:16" ht="39.75" customHeight="1" x14ac:dyDescent="0.25">
      <c r="A315" s="27">
        <v>10</v>
      </c>
      <c r="B315" s="122" t="s">
        <v>200</v>
      </c>
      <c r="C315" s="71" t="s">
        <v>236</v>
      </c>
      <c r="D315" s="123">
        <v>100</v>
      </c>
      <c r="E315" s="30">
        <v>1.5</v>
      </c>
      <c r="F315" s="30">
        <v>5.0999999999999996</v>
      </c>
      <c r="G315" s="30">
        <v>7.9</v>
      </c>
      <c r="H315" s="30">
        <v>83.5</v>
      </c>
      <c r="I315" s="30">
        <v>0</v>
      </c>
      <c r="J315" s="30">
        <v>33</v>
      </c>
      <c r="K315" s="30">
        <v>0</v>
      </c>
      <c r="L315" s="30">
        <v>3.9</v>
      </c>
      <c r="M315" s="30">
        <v>43.6</v>
      </c>
      <c r="N315" s="30">
        <v>35</v>
      </c>
      <c r="O315" s="30">
        <v>18.5</v>
      </c>
      <c r="P315" s="30">
        <v>0.6</v>
      </c>
    </row>
    <row r="316" spans="1:16" ht="39" customHeight="1" x14ac:dyDescent="0.25">
      <c r="B316" s="122" t="s">
        <v>200</v>
      </c>
      <c r="C316" s="71" t="s">
        <v>314</v>
      </c>
      <c r="D316" s="123">
        <v>100</v>
      </c>
      <c r="E316" s="30">
        <v>1.41</v>
      </c>
      <c r="F316" s="30">
        <v>5.08</v>
      </c>
      <c r="G316" s="30">
        <v>9.02</v>
      </c>
      <c r="H316" s="30">
        <v>87.44</v>
      </c>
      <c r="I316" s="30">
        <v>0.03</v>
      </c>
      <c r="J316" s="30">
        <v>32.450000000000003</v>
      </c>
      <c r="K316" s="30">
        <v>0</v>
      </c>
      <c r="L316" s="30">
        <v>2.31</v>
      </c>
      <c r="M316" s="30">
        <v>37.369999999999997</v>
      </c>
      <c r="N316" s="30">
        <v>27.61</v>
      </c>
      <c r="O316" s="30">
        <v>15.16</v>
      </c>
      <c r="P316" s="30">
        <v>0.51</v>
      </c>
    </row>
    <row r="317" spans="1:16" s="68" customFormat="1" ht="21.75" customHeight="1" x14ac:dyDescent="0.25">
      <c r="B317" s="118"/>
      <c r="C317" s="71" t="s">
        <v>172</v>
      </c>
      <c r="D317" s="119"/>
      <c r="E317" s="30">
        <f>SUM(E315:E316)/2</f>
        <v>1.4550000000000001</v>
      </c>
      <c r="F317" s="30">
        <f t="shared" ref="F317:P317" si="58">SUM(F315:F316)/2</f>
        <v>5.09</v>
      </c>
      <c r="G317" s="30">
        <f t="shared" si="58"/>
        <v>8.4600000000000009</v>
      </c>
      <c r="H317" s="30">
        <f t="shared" si="58"/>
        <v>85.47</v>
      </c>
      <c r="I317" s="30">
        <f t="shared" si="58"/>
        <v>1.4999999999999999E-2</v>
      </c>
      <c r="J317" s="30">
        <f t="shared" si="58"/>
        <v>32.725000000000001</v>
      </c>
      <c r="K317" s="30">
        <f t="shared" si="58"/>
        <v>0</v>
      </c>
      <c r="L317" s="30">
        <f t="shared" si="58"/>
        <v>3.105</v>
      </c>
      <c r="M317" s="30">
        <f t="shared" si="58"/>
        <v>40.484999999999999</v>
      </c>
      <c r="N317" s="30">
        <f t="shared" si="58"/>
        <v>31.305</v>
      </c>
      <c r="O317" s="30">
        <f t="shared" si="58"/>
        <v>16.829999999999998</v>
      </c>
      <c r="P317" s="30">
        <f t="shared" si="58"/>
        <v>0.55499999999999994</v>
      </c>
    </row>
    <row r="318" spans="1:16" ht="19.5" customHeight="1" x14ac:dyDescent="0.25">
      <c r="A318" s="27">
        <v>10</v>
      </c>
      <c r="B318" s="122" t="s">
        <v>305</v>
      </c>
      <c r="C318" s="71" t="s">
        <v>320</v>
      </c>
      <c r="D318" s="72" t="s">
        <v>321</v>
      </c>
      <c r="E318" s="30">
        <v>2.75</v>
      </c>
      <c r="F318" s="30">
        <v>2.75</v>
      </c>
      <c r="G318" s="30">
        <v>17.5</v>
      </c>
      <c r="H318" s="30">
        <v>117.5</v>
      </c>
      <c r="I318" s="30">
        <v>0</v>
      </c>
      <c r="J318" s="30">
        <v>0</v>
      </c>
      <c r="K318" s="30">
        <v>8.25</v>
      </c>
      <c r="L318" s="30">
        <v>1.25</v>
      </c>
      <c r="M318" s="30">
        <v>29.25</v>
      </c>
      <c r="N318" s="30">
        <v>35.5</v>
      </c>
      <c r="O318" s="30">
        <v>67.5</v>
      </c>
      <c r="P318" s="30">
        <v>1.25</v>
      </c>
    </row>
    <row r="319" spans="1:16" s="68" customFormat="1" ht="19.5" customHeight="1" x14ac:dyDescent="0.25">
      <c r="B319" s="122" t="s">
        <v>205</v>
      </c>
      <c r="C319" s="71" t="s">
        <v>131</v>
      </c>
      <c r="D319" s="123">
        <v>100</v>
      </c>
      <c r="E319" s="30">
        <v>10.9</v>
      </c>
      <c r="F319" s="30">
        <v>9.6</v>
      </c>
      <c r="G319" s="30">
        <v>12</v>
      </c>
      <c r="H319" s="30">
        <v>178</v>
      </c>
      <c r="I319" s="30">
        <v>0.2</v>
      </c>
      <c r="J319" s="30">
        <v>0.1</v>
      </c>
      <c r="K319" s="30">
        <v>0.7</v>
      </c>
      <c r="L319" s="30">
        <v>3.2</v>
      </c>
      <c r="M319" s="30">
        <v>119.2</v>
      </c>
      <c r="N319" s="30">
        <v>45.7</v>
      </c>
      <c r="O319" s="30">
        <v>223.7</v>
      </c>
      <c r="P319" s="30">
        <v>1.2</v>
      </c>
    </row>
    <row r="320" spans="1:16" ht="22.5" customHeight="1" x14ac:dyDescent="0.25">
      <c r="A320" s="27">
        <v>10</v>
      </c>
      <c r="B320" s="122" t="s">
        <v>168</v>
      </c>
      <c r="C320" s="71" t="s">
        <v>322</v>
      </c>
      <c r="D320" s="123">
        <v>180</v>
      </c>
      <c r="E320" s="30">
        <v>3.6719999999999997</v>
      </c>
      <c r="F320" s="30">
        <v>5.76</v>
      </c>
      <c r="G320" s="30">
        <v>19.079999999999998</v>
      </c>
      <c r="H320" s="30">
        <v>142.84799999999998</v>
      </c>
      <c r="I320" s="30">
        <v>0.16200000000000001</v>
      </c>
      <c r="J320" s="30">
        <v>21.797999999999998</v>
      </c>
      <c r="K320" s="30">
        <v>3.6000000000000004E-2</v>
      </c>
      <c r="L320" s="30">
        <v>0.21599999999999997</v>
      </c>
      <c r="M320" s="30">
        <v>44.37</v>
      </c>
      <c r="N320" s="30">
        <v>103.914</v>
      </c>
      <c r="O320" s="30">
        <v>33.299999999999997</v>
      </c>
      <c r="P320" s="30">
        <v>1.2060000000000002</v>
      </c>
    </row>
    <row r="321" spans="1:16" s="68" customFormat="1" ht="22.5" customHeight="1" x14ac:dyDescent="0.25">
      <c r="B321" s="122" t="s">
        <v>216</v>
      </c>
      <c r="C321" s="71" t="s">
        <v>217</v>
      </c>
      <c r="D321" s="123">
        <v>180</v>
      </c>
      <c r="E321" s="30">
        <v>3.222</v>
      </c>
      <c r="F321" s="30">
        <v>18.594000000000001</v>
      </c>
      <c r="G321" s="30">
        <v>24.408000000000001</v>
      </c>
      <c r="H321" s="30">
        <v>277.93799999999999</v>
      </c>
      <c r="I321" s="30">
        <v>0.18</v>
      </c>
      <c r="J321" s="30">
        <v>41.85</v>
      </c>
      <c r="K321" s="30">
        <v>0</v>
      </c>
      <c r="L321" s="30">
        <v>8.0640000000000001</v>
      </c>
      <c r="M321" s="30">
        <v>43.92</v>
      </c>
      <c r="N321" s="30">
        <v>94.716000000000008</v>
      </c>
      <c r="O321" s="30">
        <v>41.238</v>
      </c>
      <c r="P321" s="30">
        <v>1.548</v>
      </c>
    </row>
    <row r="322" spans="1:16" s="68" customFormat="1" ht="20.25" customHeight="1" x14ac:dyDescent="0.25">
      <c r="B322" s="86"/>
      <c r="C322" s="71" t="s">
        <v>172</v>
      </c>
      <c r="D322" s="87"/>
      <c r="E322" s="30">
        <f>SUM(E320:E321)/2</f>
        <v>3.4470000000000001</v>
      </c>
      <c r="F322" s="30">
        <f t="shared" ref="F322:P322" si="59">SUM(F320:F321)/2</f>
        <v>12.177</v>
      </c>
      <c r="G322" s="30">
        <f t="shared" si="59"/>
        <v>21.744</v>
      </c>
      <c r="H322" s="30">
        <f t="shared" si="59"/>
        <v>210.39299999999997</v>
      </c>
      <c r="I322" s="30">
        <f t="shared" si="59"/>
        <v>0.17099999999999999</v>
      </c>
      <c r="J322" s="30">
        <f t="shared" si="59"/>
        <v>31.823999999999998</v>
      </c>
      <c r="K322" s="30">
        <f t="shared" si="59"/>
        <v>1.8000000000000002E-2</v>
      </c>
      <c r="L322" s="30">
        <f t="shared" si="59"/>
        <v>4.1399999999999997</v>
      </c>
      <c r="M322" s="30">
        <f t="shared" si="59"/>
        <v>44.144999999999996</v>
      </c>
      <c r="N322" s="30">
        <f t="shared" si="59"/>
        <v>99.314999999999998</v>
      </c>
      <c r="O322" s="30">
        <f t="shared" si="59"/>
        <v>37.268999999999998</v>
      </c>
      <c r="P322" s="30">
        <f t="shared" si="59"/>
        <v>1.3770000000000002</v>
      </c>
    </row>
    <row r="323" spans="1:16" ht="20.100000000000001" customHeight="1" x14ac:dyDescent="0.25">
      <c r="A323" s="27">
        <v>10</v>
      </c>
      <c r="B323" s="66" t="s">
        <v>181</v>
      </c>
      <c r="C323" s="37" t="s">
        <v>57</v>
      </c>
      <c r="D323" s="67">
        <v>200</v>
      </c>
      <c r="E323" s="30">
        <v>0.28000000000000003</v>
      </c>
      <c r="F323" s="30">
        <v>0.1</v>
      </c>
      <c r="G323" s="30">
        <v>28.88</v>
      </c>
      <c r="H323" s="30">
        <v>117.54</v>
      </c>
      <c r="I323" s="30">
        <v>0</v>
      </c>
      <c r="J323" s="30">
        <v>19.3</v>
      </c>
      <c r="K323" s="30">
        <v>0</v>
      </c>
      <c r="L323" s="30">
        <v>0.16</v>
      </c>
      <c r="M323" s="30">
        <v>13.66</v>
      </c>
      <c r="N323" s="30">
        <v>7.38</v>
      </c>
      <c r="O323" s="30">
        <v>5.78</v>
      </c>
      <c r="P323" s="30">
        <v>0.46800000000000003</v>
      </c>
    </row>
    <row r="324" spans="1:16" ht="19.5" customHeight="1" x14ac:dyDescent="0.25">
      <c r="A324" s="27">
        <v>10</v>
      </c>
      <c r="B324" s="66"/>
      <c r="C324" s="37" t="s">
        <v>174</v>
      </c>
      <c r="D324" s="67">
        <v>150</v>
      </c>
      <c r="E324" s="30">
        <v>1.3999999999999997</v>
      </c>
      <c r="F324" s="30">
        <v>0.20000000000000004</v>
      </c>
      <c r="G324" s="30">
        <v>14.3</v>
      </c>
      <c r="H324" s="30">
        <v>67.5</v>
      </c>
      <c r="I324" s="30">
        <v>5.9999999999999991E-2</v>
      </c>
      <c r="J324" s="30">
        <v>15</v>
      </c>
      <c r="K324" s="30">
        <v>0</v>
      </c>
      <c r="L324" s="30">
        <v>1.7</v>
      </c>
      <c r="M324" s="30">
        <v>30</v>
      </c>
      <c r="N324" s="30">
        <v>51</v>
      </c>
      <c r="O324" s="30">
        <v>24</v>
      </c>
      <c r="P324" s="30">
        <v>0.9</v>
      </c>
    </row>
    <row r="325" spans="1:16" ht="18.600000000000001" customHeight="1" x14ac:dyDescent="0.25">
      <c r="A325" s="27">
        <v>10</v>
      </c>
      <c r="B325" s="122" t="s">
        <v>182</v>
      </c>
      <c r="C325" s="71" t="s">
        <v>20</v>
      </c>
      <c r="D325" s="123">
        <v>40</v>
      </c>
      <c r="E325" s="30">
        <v>3.0666666666666664</v>
      </c>
      <c r="F325" s="30">
        <v>0.26666666666666672</v>
      </c>
      <c r="G325" s="30">
        <v>19.733333333333334</v>
      </c>
      <c r="H325" s="30">
        <v>94</v>
      </c>
      <c r="I325" s="30">
        <v>0</v>
      </c>
      <c r="J325" s="30">
        <v>0</v>
      </c>
      <c r="K325" s="30">
        <v>0</v>
      </c>
      <c r="L325" s="30">
        <v>0.4</v>
      </c>
      <c r="M325" s="30">
        <v>8</v>
      </c>
      <c r="N325" s="30">
        <v>26</v>
      </c>
      <c r="O325" s="30">
        <v>5.6000000000000014</v>
      </c>
      <c r="P325" s="30">
        <v>0.4</v>
      </c>
    </row>
    <row r="326" spans="1:16" ht="21" customHeight="1" x14ac:dyDescent="0.25">
      <c r="A326" s="27">
        <v>10</v>
      </c>
      <c r="B326" s="122" t="s">
        <v>191</v>
      </c>
      <c r="C326" s="71" t="s">
        <v>21</v>
      </c>
      <c r="D326" s="123">
        <v>50</v>
      </c>
      <c r="E326" s="30">
        <v>3.25</v>
      </c>
      <c r="F326" s="30">
        <v>0.625</v>
      </c>
      <c r="G326" s="30">
        <v>19.75</v>
      </c>
      <c r="H326" s="30">
        <v>99</v>
      </c>
      <c r="I326" s="30">
        <v>0.125</v>
      </c>
      <c r="J326" s="30">
        <v>0</v>
      </c>
      <c r="K326" s="30">
        <v>0</v>
      </c>
      <c r="L326" s="30">
        <v>0.75</v>
      </c>
      <c r="M326" s="30">
        <v>14.499999999999998</v>
      </c>
      <c r="N326" s="30">
        <v>75</v>
      </c>
      <c r="O326" s="30">
        <v>23.5</v>
      </c>
      <c r="P326" s="30">
        <v>2</v>
      </c>
    </row>
    <row r="327" spans="1:16" ht="19.5" customHeight="1" x14ac:dyDescent="0.25">
      <c r="A327" s="27">
        <v>10</v>
      </c>
      <c r="B327" s="114"/>
      <c r="C327" s="114" t="s">
        <v>18</v>
      </c>
      <c r="D327" s="115"/>
      <c r="E327" s="114">
        <f>SUM(E317+E318+E319+E322+E323+E324+E325+E326)</f>
        <v>26.548666666666666</v>
      </c>
      <c r="F327" s="114">
        <f t="shared" ref="F327:P327" si="60">SUM(F317+F318+F319+F322+F323+F324+F325+F326)</f>
        <v>30.808666666666664</v>
      </c>
      <c r="G327" s="114">
        <f t="shared" si="60"/>
        <v>142.36733333333333</v>
      </c>
      <c r="H327" s="114">
        <f t="shared" si="60"/>
        <v>969.40300000000002</v>
      </c>
      <c r="I327" s="114">
        <f t="shared" si="60"/>
        <v>0.57099999999999995</v>
      </c>
      <c r="J327" s="114">
        <f t="shared" si="60"/>
        <v>98.948999999999998</v>
      </c>
      <c r="K327" s="114">
        <f t="shared" si="60"/>
        <v>8.968</v>
      </c>
      <c r="L327" s="114">
        <f t="shared" si="60"/>
        <v>14.705</v>
      </c>
      <c r="M327" s="114">
        <f t="shared" si="60"/>
        <v>299.24</v>
      </c>
      <c r="N327" s="114">
        <f t="shared" si="60"/>
        <v>371.2</v>
      </c>
      <c r="O327" s="114">
        <f t="shared" si="60"/>
        <v>404.17899999999997</v>
      </c>
      <c r="P327" s="114">
        <f t="shared" si="60"/>
        <v>8.15</v>
      </c>
    </row>
    <row r="328" spans="1:16" ht="18" customHeight="1" x14ac:dyDescent="0.25">
      <c r="A328" s="27">
        <v>10</v>
      </c>
      <c r="B328" s="132" t="s">
        <v>22</v>
      </c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</row>
    <row r="329" spans="1:16" ht="39.75" customHeight="1" x14ac:dyDescent="0.25">
      <c r="A329" s="27">
        <v>10</v>
      </c>
      <c r="B329" s="118" t="s">
        <v>198</v>
      </c>
      <c r="C329" s="71" t="s">
        <v>324</v>
      </c>
      <c r="D329" s="119">
        <v>100</v>
      </c>
      <c r="E329" s="30">
        <v>12.88</v>
      </c>
      <c r="F329" s="30">
        <v>12.86</v>
      </c>
      <c r="G329" s="30">
        <v>60.38</v>
      </c>
      <c r="H329" s="30">
        <v>236.94</v>
      </c>
      <c r="I329" s="30">
        <v>7.0000000000000007E-2</v>
      </c>
      <c r="J329" s="30">
        <v>3.27</v>
      </c>
      <c r="K329" s="30">
        <v>0.82499999999999996</v>
      </c>
      <c r="L329" s="30">
        <v>0.81</v>
      </c>
      <c r="M329" s="30">
        <v>236.22</v>
      </c>
      <c r="N329" s="30">
        <v>21.05</v>
      </c>
      <c r="O329" s="30">
        <v>192.82</v>
      </c>
      <c r="P329" s="30">
        <v>1.19</v>
      </c>
    </row>
    <row r="330" spans="1:16" ht="19.5" customHeight="1" x14ac:dyDescent="0.25">
      <c r="A330" s="27">
        <v>10</v>
      </c>
      <c r="B330" s="118" t="s">
        <v>179</v>
      </c>
      <c r="C330" s="71" t="s">
        <v>58</v>
      </c>
      <c r="D330" s="119">
        <v>200</v>
      </c>
      <c r="E330" s="30">
        <v>0.66</v>
      </c>
      <c r="F330" s="30">
        <v>0.1</v>
      </c>
      <c r="G330" s="30">
        <v>28.02</v>
      </c>
      <c r="H330" s="30">
        <v>109.48</v>
      </c>
      <c r="I330" s="30">
        <v>0</v>
      </c>
      <c r="J330" s="30">
        <v>0.02</v>
      </c>
      <c r="K330" s="30">
        <v>0.68</v>
      </c>
      <c r="L330" s="30">
        <v>0.5</v>
      </c>
      <c r="M330" s="30">
        <v>32.479999999999997</v>
      </c>
      <c r="N330" s="30">
        <v>17.46</v>
      </c>
      <c r="O330" s="30">
        <v>23.44</v>
      </c>
      <c r="P330" s="30">
        <v>0.7</v>
      </c>
    </row>
    <row r="331" spans="1:16" ht="0.75" customHeight="1" x14ac:dyDescent="0.25">
      <c r="A331" s="27">
        <v>10</v>
      </c>
      <c r="B331" s="66"/>
      <c r="C331" s="40"/>
      <c r="D331" s="67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</row>
    <row r="332" spans="1:16" ht="19.5" customHeight="1" x14ac:dyDescent="0.25">
      <c r="A332" s="27">
        <v>10</v>
      </c>
      <c r="B332" s="114"/>
      <c r="C332" s="114" t="s">
        <v>18</v>
      </c>
      <c r="D332" s="115"/>
      <c r="E332" s="114">
        <f>SUM(E329:E331)</f>
        <v>13.540000000000001</v>
      </c>
      <c r="F332" s="114">
        <f t="shared" ref="F332:P332" si="61">SUM(F329:F331)</f>
        <v>12.959999999999999</v>
      </c>
      <c r="G332" s="114">
        <f t="shared" si="61"/>
        <v>88.4</v>
      </c>
      <c r="H332" s="114">
        <f t="shared" si="61"/>
        <v>346.42</v>
      </c>
      <c r="I332" s="114">
        <f t="shared" si="61"/>
        <v>7.0000000000000007E-2</v>
      </c>
      <c r="J332" s="114">
        <f t="shared" si="61"/>
        <v>3.29</v>
      </c>
      <c r="K332" s="114">
        <f t="shared" si="61"/>
        <v>1.5049999999999999</v>
      </c>
      <c r="L332" s="114">
        <f t="shared" si="61"/>
        <v>1.31</v>
      </c>
      <c r="M332" s="114">
        <f t="shared" si="61"/>
        <v>268.7</v>
      </c>
      <c r="N332" s="114">
        <f t="shared" si="61"/>
        <v>38.510000000000005</v>
      </c>
      <c r="O332" s="114">
        <f t="shared" si="61"/>
        <v>216.26</v>
      </c>
      <c r="P332" s="114">
        <f t="shared" si="61"/>
        <v>1.89</v>
      </c>
    </row>
    <row r="333" spans="1:16" ht="19.5" customHeight="1" x14ac:dyDescent="0.25">
      <c r="A333" s="27">
        <v>10</v>
      </c>
      <c r="B333" s="66"/>
      <c r="C333" s="66" t="s">
        <v>35</v>
      </c>
      <c r="D333" s="67"/>
      <c r="E333" s="66">
        <f>SUM(E313+E327+E332)</f>
        <v>70.038666666666671</v>
      </c>
      <c r="F333" s="118">
        <f t="shared" ref="F333:P333" si="62">SUM(F313+F327+F332)</f>
        <v>76.478666666666655</v>
      </c>
      <c r="G333" s="118">
        <f t="shared" si="62"/>
        <v>303.96733333333339</v>
      </c>
      <c r="H333" s="118">
        <f t="shared" si="62"/>
        <v>2039.473</v>
      </c>
      <c r="I333" s="118">
        <f t="shared" si="62"/>
        <v>0.97399999999999998</v>
      </c>
      <c r="J333" s="118">
        <f t="shared" si="62"/>
        <v>115.039</v>
      </c>
      <c r="K333" s="118">
        <f t="shared" si="62"/>
        <v>11.95</v>
      </c>
      <c r="L333" s="118">
        <f t="shared" si="62"/>
        <v>20.504999999999999</v>
      </c>
      <c r="M333" s="118">
        <f t="shared" si="62"/>
        <v>1146.8800000000001</v>
      </c>
      <c r="N333" s="118">
        <f t="shared" si="62"/>
        <v>882.94</v>
      </c>
      <c r="O333" s="118">
        <f t="shared" si="62"/>
        <v>714.70899999999995</v>
      </c>
      <c r="P333" s="118">
        <f t="shared" si="62"/>
        <v>13.790000000000001</v>
      </c>
    </row>
  </sheetData>
  <mergeCells count="100">
    <mergeCell ref="B284:P284"/>
    <mergeCell ref="B293:P293"/>
    <mergeCell ref="I302:L302"/>
    <mergeCell ref="M302:P302"/>
    <mergeCell ref="B302:B303"/>
    <mergeCell ref="C302:C303"/>
    <mergeCell ref="D302:D303"/>
    <mergeCell ref="E302:G302"/>
    <mergeCell ref="H302:H303"/>
    <mergeCell ref="E168:G168"/>
    <mergeCell ref="H168:H169"/>
    <mergeCell ref="I168:L168"/>
    <mergeCell ref="M168:P168"/>
    <mergeCell ref="B199:B200"/>
    <mergeCell ref="C199:C200"/>
    <mergeCell ref="D199:D200"/>
    <mergeCell ref="E199:G199"/>
    <mergeCell ref="H199:H200"/>
    <mergeCell ref="I199:L199"/>
    <mergeCell ref="M199:P199"/>
    <mergeCell ref="M103:P103"/>
    <mergeCell ref="B136:B137"/>
    <mergeCell ref="C136:C137"/>
    <mergeCell ref="D136:D137"/>
    <mergeCell ref="E136:G136"/>
    <mergeCell ref="H136:H137"/>
    <mergeCell ref="I136:L136"/>
    <mergeCell ref="M136:P136"/>
    <mergeCell ref="I36:L36"/>
    <mergeCell ref="M36:P36"/>
    <mergeCell ref="B71:B72"/>
    <mergeCell ref="C71:C72"/>
    <mergeCell ref="D71:D72"/>
    <mergeCell ref="E71:G71"/>
    <mergeCell ref="H71:H72"/>
    <mergeCell ref="I71:L71"/>
    <mergeCell ref="M71:P71"/>
    <mergeCell ref="B36:B37"/>
    <mergeCell ref="C36:C37"/>
    <mergeCell ref="D36:D37"/>
    <mergeCell ref="E36:G36"/>
    <mergeCell ref="H36:H37"/>
    <mergeCell ref="M6:P6"/>
    <mergeCell ref="B8:P8"/>
    <mergeCell ref="B14:P14"/>
    <mergeCell ref="B25:P25"/>
    <mergeCell ref="B6:B7"/>
    <mergeCell ref="C6:C7"/>
    <mergeCell ref="D6:D7"/>
    <mergeCell ref="E6:G6"/>
    <mergeCell ref="H6:H7"/>
    <mergeCell ref="I6:L6"/>
    <mergeCell ref="B138:P138"/>
    <mergeCell ref="B73:P73"/>
    <mergeCell ref="B59:P59"/>
    <mergeCell ref="B49:P49"/>
    <mergeCell ref="B38:P38"/>
    <mergeCell ref="B82:P82"/>
    <mergeCell ref="B93:P93"/>
    <mergeCell ref="B105:P105"/>
    <mergeCell ref="B114:P114"/>
    <mergeCell ref="B126:P126"/>
    <mergeCell ref="B103:B104"/>
    <mergeCell ref="C103:C104"/>
    <mergeCell ref="D103:D104"/>
    <mergeCell ref="E103:G103"/>
    <mergeCell ref="H103:H104"/>
    <mergeCell ref="I103:L103"/>
    <mergeCell ref="B328:P328"/>
    <mergeCell ref="B275:P275"/>
    <mergeCell ref="B147:P147"/>
    <mergeCell ref="B158:P158"/>
    <mergeCell ref="B170:P170"/>
    <mergeCell ref="B176:P176"/>
    <mergeCell ref="B189:P189"/>
    <mergeCell ref="B201:P201"/>
    <mergeCell ref="B214:P214"/>
    <mergeCell ref="B226:P226"/>
    <mergeCell ref="B240:P240"/>
    <mergeCell ref="B248:P248"/>
    <mergeCell ref="B259:P259"/>
    <mergeCell ref="B168:B169"/>
    <mergeCell ref="C168:C169"/>
    <mergeCell ref="D168:D169"/>
    <mergeCell ref="B304:P304"/>
    <mergeCell ref="B314:P314"/>
    <mergeCell ref="B238:B239"/>
    <mergeCell ref="C238:C239"/>
    <mergeCell ref="D238:D239"/>
    <mergeCell ref="E238:G238"/>
    <mergeCell ref="H238:H239"/>
    <mergeCell ref="I238:L238"/>
    <mergeCell ref="M238:P238"/>
    <mergeCell ref="B273:B274"/>
    <mergeCell ref="C273:C274"/>
    <mergeCell ref="D273:D274"/>
    <mergeCell ref="E273:G273"/>
    <mergeCell ref="H273:H274"/>
    <mergeCell ref="I273:L273"/>
    <mergeCell ref="M273:P273"/>
  </mergeCells>
  <pageMargins left="0.51181102362204722" right="0.51181102362204722" top="0.74803149606299213" bottom="0.35433070866141736" header="0.31496062992125984" footer="0.31496062992125984"/>
  <pageSetup paperSize="9" scale="62" fitToHeight="0" orientation="landscape" r:id="rId1"/>
  <rowBreaks count="9" manualBreakCount="9">
    <brk id="30" max="16383" man="1"/>
    <brk id="65" max="16383" man="1"/>
    <brk id="97" max="16383" man="1"/>
    <brk id="130" max="16383" man="1"/>
    <brk id="162" max="16383" man="1"/>
    <brk id="194" max="16383" man="1"/>
    <brk id="232" max="16383" man="1"/>
    <brk id="267" max="16383" man="1"/>
    <brk id="2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2"/>
  <sheetViews>
    <sheetView tabSelected="1" topLeftCell="A7" workbookViewId="0">
      <selection activeCell="F15" sqref="F15"/>
    </sheetView>
  </sheetViews>
  <sheetFormatPr defaultColWidth="9.140625" defaultRowHeight="15" x14ac:dyDescent="0.2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 x14ac:dyDescent="0.35">
      <c r="B2" s="138" t="s">
        <v>40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2:20" ht="75" customHeight="1" thickBot="1" x14ac:dyDescent="0.3">
      <c r="B3" s="21" t="s">
        <v>36</v>
      </c>
      <c r="C3" s="145" t="s">
        <v>3</v>
      </c>
      <c r="D3" s="145"/>
      <c r="E3" s="145"/>
      <c r="F3" s="145" t="s">
        <v>37</v>
      </c>
      <c r="G3" s="145" t="s">
        <v>5</v>
      </c>
      <c r="H3" s="145"/>
      <c r="I3" s="145"/>
      <c r="J3" s="145"/>
      <c r="K3" s="145" t="s">
        <v>6</v>
      </c>
      <c r="L3" s="145"/>
      <c r="M3" s="145"/>
      <c r="N3" s="145"/>
      <c r="P3" s="142" t="s">
        <v>43</v>
      </c>
      <c r="Q3" s="139" t="s">
        <v>3</v>
      </c>
      <c r="R3" s="140"/>
      <c r="S3" s="141"/>
      <c r="T3" s="2" t="s">
        <v>41</v>
      </c>
    </row>
    <row r="4" spans="2:20" ht="19.5" customHeight="1" thickBot="1" x14ac:dyDescent="0.4">
      <c r="B4" s="22"/>
      <c r="C4" s="21" t="s">
        <v>7</v>
      </c>
      <c r="D4" s="21" t="s">
        <v>8</v>
      </c>
      <c r="E4" s="21" t="s">
        <v>9</v>
      </c>
      <c r="F4" s="145"/>
      <c r="G4" s="21" t="s">
        <v>38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P4" s="143"/>
      <c r="Q4" s="3" t="s">
        <v>7</v>
      </c>
      <c r="R4" s="3" t="s">
        <v>8</v>
      </c>
      <c r="S4" s="3" t="s">
        <v>9</v>
      </c>
      <c r="T4" s="4" t="s">
        <v>42</v>
      </c>
    </row>
    <row r="5" spans="2:20" ht="16.5" customHeight="1" thickBot="1" x14ac:dyDescent="0.3">
      <c r="B5" s="23">
        <v>1</v>
      </c>
      <c r="C5" s="24">
        <f>'на выход'!E30</f>
        <v>65.507666666666665</v>
      </c>
      <c r="D5" s="24">
        <f>'на выход'!F30</f>
        <v>70.681666666666672</v>
      </c>
      <c r="E5" s="24">
        <f>'на выход'!G30</f>
        <v>316.01133333333337</v>
      </c>
      <c r="F5" s="24">
        <f>'на выход'!H30</f>
        <v>2198.6219999999998</v>
      </c>
      <c r="G5" s="24">
        <f>'на выход'!I30</f>
        <v>0.80600000000000005</v>
      </c>
      <c r="H5" s="24">
        <f>'на выход'!J30</f>
        <v>30.85</v>
      </c>
      <c r="I5" s="24">
        <f>'на выход'!K30</f>
        <v>34.744999999999997</v>
      </c>
      <c r="J5" s="24">
        <f>'на выход'!L30</f>
        <v>14.206000000000001</v>
      </c>
      <c r="K5" s="24">
        <f>'на выход'!M30</f>
        <v>741.25199999999995</v>
      </c>
      <c r="L5" s="24">
        <f>'на выход'!N30</f>
        <v>1435.896</v>
      </c>
      <c r="M5" s="24">
        <f>'на выход'!O30</f>
        <v>533.36599999999999</v>
      </c>
      <c r="N5" s="24">
        <f>'на выход'!P30</f>
        <v>20.213000000000001</v>
      </c>
      <c r="P5" s="144"/>
      <c r="Q5" s="5" t="s">
        <v>44</v>
      </c>
      <c r="R5" s="5" t="s">
        <v>45</v>
      </c>
      <c r="S5" s="5" t="s">
        <v>46</v>
      </c>
      <c r="T5" s="6" t="s">
        <v>47</v>
      </c>
    </row>
    <row r="6" spans="2:20" ht="16.5" customHeight="1" thickBot="1" x14ac:dyDescent="0.3">
      <c r="B6" s="23">
        <v>2</v>
      </c>
      <c r="C6" s="24">
        <f>'на выход'!E65</f>
        <v>83.006666666666661</v>
      </c>
      <c r="D6" s="24">
        <f>'на выход'!F65</f>
        <v>57.88666666666667</v>
      </c>
      <c r="E6" s="24">
        <f>'на выход'!G65</f>
        <v>264.45333333333332</v>
      </c>
      <c r="F6" s="24">
        <f>'на выход'!H65</f>
        <v>1877.7249999999999</v>
      </c>
      <c r="G6" s="24">
        <f>'на выход'!I65</f>
        <v>0.50800000000000001</v>
      </c>
      <c r="H6" s="24">
        <f>'на выход'!J65</f>
        <v>44.115000000000002</v>
      </c>
      <c r="I6" s="24">
        <f>'на выход'!K65</f>
        <v>88.335999999999999</v>
      </c>
      <c r="J6" s="24">
        <f>'на выход'!L65</f>
        <v>12.215000000000002</v>
      </c>
      <c r="K6" s="24">
        <f>'на выход'!M65</f>
        <v>604.79</v>
      </c>
      <c r="L6" s="24">
        <f>'на выход'!N65</f>
        <v>730.09499999999991</v>
      </c>
      <c r="M6" s="24">
        <f>'на выход'!O65</f>
        <v>235.58</v>
      </c>
      <c r="N6" s="24">
        <f>'на выход'!P65</f>
        <v>11.465999999999999</v>
      </c>
      <c r="P6" s="7" t="s">
        <v>48</v>
      </c>
      <c r="Q6" s="8">
        <f>C15</f>
        <v>688.19566666666663</v>
      </c>
      <c r="R6" s="8">
        <f>D15</f>
        <v>720.58983333333322</v>
      </c>
      <c r="S6" s="8">
        <f>E15</f>
        <v>2884.3950000000004</v>
      </c>
      <c r="T6" s="8">
        <f>F15</f>
        <v>20607.97591666667</v>
      </c>
    </row>
    <row r="7" spans="2:20" ht="16.5" customHeight="1" thickBot="1" x14ac:dyDescent="0.3">
      <c r="B7" s="23">
        <v>3</v>
      </c>
      <c r="C7" s="24">
        <f>'на выход'!E97</f>
        <v>68.172166666666669</v>
      </c>
      <c r="D7" s="24">
        <f>'на выход'!F97</f>
        <v>81.558166666666665</v>
      </c>
      <c r="E7" s="24">
        <f>'на выход'!G97</f>
        <v>324.52133333333336</v>
      </c>
      <c r="F7" s="24">
        <f>'на выход'!H97</f>
        <v>2355.0115000000001</v>
      </c>
      <c r="G7" s="24">
        <f>'на выход'!I97</f>
        <v>1.0495000000000001</v>
      </c>
      <c r="H7" s="24">
        <f>'на выход'!J97</f>
        <v>57.489000000000004</v>
      </c>
      <c r="I7" s="24">
        <f>'на выход'!K97</f>
        <v>92.018750000000011</v>
      </c>
      <c r="J7" s="24">
        <f>'на выход'!L97</f>
        <v>49.630500000000005</v>
      </c>
      <c r="K7" s="24">
        <f>'на выход'!M97</f>
        <v>493.02</v>
      </c>
      <c r="L7" s="24">
        <f>'на выход'!N97</f>
        <v>1192.1599999999999</v>
      </c>
      <c r="M7" s="24">
        <f>'на выход'!O97</f>
        <v>666.69099999999992</v>
      </c>
      <c r="N7" s="24">
        <f>'на выход'!P97</f>
        <v>20.547000000000001</v>
      </c>
      <c r="P7" s="7" t="s">
        <v>49</v>
      </c>
      <c r="Q7" s="8">
        <f>Q6/10</f>
        <v>68.81956666666666</v>
      </c>
      <c r="R7" s="8">
        <f>R6/10</f>
        <v>72.058983333333316</v>
      </c>
      <c r="S7" s="8">
        <f>S6/10</f>
        <v>288.43950000000007</v>
      </c>
      <c r="T7" s="8">
        <f>T6/10</f>
        <v>2060.7975916666669</v>
      </c>
    </row>
    <row r="8" spans="2:20" ht="16.5" customHeight="1" x14ac:dyDescent="0.25">
      <c r="B8" s="23">
        <v>4</v>
      </c>
      <c r="C8" s="24">
        <f>'на выход'!E130</f>
        <v>87.212833333333322</v>
      </c>
      <c r="D8" s="24">
        <f>'на выход'!F130</f>
        <v>83.375999999999991</v>
      </c>
      <c r="E8" s="24">
        <f>'на выход'!G130</f>
        <v>313.61783333333335</v>
      </c>
      <c r="F8" s="24">
        <f>'на выход'!H130</f>
        <v>2460.5491666666667</v>
      </c>
      <c r="G8" s="24">
        <f>'на выход'!I130</f>
        <v>1.4271666666666669</v>
      </c>
      <c r="H8" s="24">
        <f>'на выход'!J130</f>
        <v>82.536500000000004</v>
      </c>
      <c r="I8" s="24">
        <f>'на выход'!K130</f>
        <v>21.550666666666668</v>
      </c>
      <c r="J8" s="24">
        <f>'на выход'!L130</f>
        <v>25.804333333333332</v>
      </c>
      <c r="K8" s="24">
        <f>'на выход'!M130</f>
        <v>987.10766666666677</v>
      </c>
      <c r="L8" s="24">
        <f>'на выход'!N130</f>
        <v>1235.6453333333332</v>
      </c>
      <c r="M8" s="24">
        <f>'на выход'!O130</f>
        <v>538.05150000000003</v>
      </c>
      <c r="N8" s="24">
        <f>'на выход'!P130</f>
        <v>35.565666666666665</v>
      </c>
    </row>
    <row r="9" spans="2:20" ht="16.5" customHeight="1" x14ac:dyDescent="0.25">
      <c r="B9" s="23">
        <v>5</v>
      </c>
      <c r="C9" s="24">
        <f>'на выход'!E162</f>
        <v>63.75266666666667</v>
      </c>
      <c r="D9" s="24">
        <f>'на выход'!F162</f>
        <v>82.567166666666665</v>
      </c>
      <c r="E9" s="24">
        <f>'на выход'!G162</f>
        <v>302.82333333333338</v>
      </c>
      <c r="F9" s="24">
        <f>'на выход'!H162</f>
        <v>1972.5709999999999</v>
      </c>
      <c r="G9" s="24">
        <f>'на выход'!I162</f>
        <v>0.63849999999999996</v>
      </c>
      <c r="H9" s="24">
        <f>'на выход'!J162</f>
        <v>44.449750000000009</v>
      </c>
      <c r="I9" s="24">
        <f>'на выход'!K162</f>
        <v>65.840500000000006</v>
      </c>
      <c r="J9" s="24">
        <f>'на выход'!L162</f>
        <v>20.994999999999997</v>
      </c>
      <c r="K9" s="24">
        <f>'на выход'!M162</f>
        <v>1044.5889999999999</v>
      </c>
      <c r="L9" s="24">
        <f>'на выход'!N162</f>
        <v>761.97749999999996</v>
      </c>
      <c r="M9" s="24">
        <f>'на выход'!O162</f>
        <v>898.73300000000017</v>
      </c>
      <c r="N9" s="24">
        <f>'на выход'!P162</f>
        <v>13.894500000000001</v>
      </c>
    </row>
    <row r="10" spans="2:20" ht="16.5" customHeight="1" x14ac:dyDescent="0.25">
      <c r="B10" s="23">
        <v>6</v>
      </c>
      <c r="C10" s="24">
        <f>'на выход'!E194</f>
        <v>67.569999999999993</v>
      </c>
      <c r="D10" s="24">
        <f>'на выход'!F194</f>
        <v>64.094999999999999</v>
      </c>
      <c r="E10" s="24">
        <f>'на выход'!G194</f>
        <v>235.41</v>
      </c>
      <c r="F10" s="24">
        <f>'на выход'!H194</f>
        <v>1755.5900000000001</v>
      </c>
      <c r="G10" s="24">
        <f>'на выход'!I194</f>
        <v>0.499</v>
      </c>
      <c r="H10" s="24">
        <f>'на выход'!J194</f>
        <v>30.994</v>
      </c>
      <c r="I10" s="24">
        <f>'на выход'!K194</f>
        <v>8.86</v>
      </c>
      <c r="J10" s="24">
        <f>'на выход'!L194</f>
        <v>12.84</v>
      </c>
      <c r="K10" s="24">
        <f>'на выход'!M194</f>
        <v>864.61000000000013</v>
      </c>
      <c r="L10" s="24">
        <f>'на выход'!N194</f>
        <v>1128.2599999999998</v>
      </c>
      <c r="M10" s="24">
        <f>'на выход'!O194</f>
        <v>504.38000000000005</v>
      </c>
      <c r="N10" s="24">
        <f>'на выход'!P194</f>
        <v>16.864000000000001</v>
      </c>
    </row>
    <row r="11" spans="2:20" ht="16.5" customHeight="1" x14ac:dyDescent="0.25">
      <c r="B11" s="23">
        <v>7</v>
      </c>
      <c r="C11" s="24">
        <f>'на выход'!E232</f>
        <v>54.64116666666667</v>
      </c>
      <c r="D11" s="24">
        <f>'на выход'!F232</f>
        <v>73.161166666666674</v>
      </c>
      <c r="E11" s="24">
        <f>'на выход'!G232</f>
        <v>287.65133333333335</v>
      </c>
      <c r="F11" s="24">
        <f>'на выход'!H232</f>
        <v>1946.6927499999999</v>
      </c>
      <c r="G11" s="24">
        <f>'на выход'!I232</f>
        <v>1.4490000000000001</v>
      </c>
      <c r="H11" s="24">
        <f>'на выход'!J232</f>
        <v>72.482500000000002</v>
      </c>
      <c r="I11" s="24">
        <f>'на выход'!K232</f>
        <v>27.655000000000001</v>
      </c>
      <c r="J11" s="24">
        <f>'на выход'!L232</f>
        <v>19.327750000000002</v>
      </c>
      <c r="K11" s="24">
        <f>'на выход'!M232</f>
        <v>720.73699999999985</v>
      </c>
      <c r="L11" s="24">
        <f>'на выход'!N232</f>
        <v>1089.9557500000001</v>
      </c>
      <c r="M11" s="24">
        <f>'на выход'!O232</f>
        <v>593.34525000000008</v>
      </c>
      <c r="N11" s="24">
        <f>'на выход'!P232</f>
        <v>18.781749999999999</v>
      </c>
    </row>
    <row r="12" spans="2:20" ht="16.5" customHeight="1" x14ac:dyDescent="0.25">
      <c r="B12" s="23">
        <v>8</v>
      </c>
      <c r="C12" s="24">
        <f>'на выход'!E267</f>
        <v>56.176666666666662</v>
      </c>
      <c r="D12" s="24">
        <f>'на выход'!F267</f>
        <v>55.66566666666666</v>
      </c>
      <c r="E12" s="24">
        <f>'на выход'!G267</f>
        <v>254.76533333333333</v>
      </c>
      <c r="F12" s="24">
        <f>'на выход'!H267</f>
        <v>1768.567</v>
      </c>
      <c r="G12" s="24">
        <f>'на выход'!I267</f>
        <v>0.64999999999999991</v>
      </c>
      <c r="H12" s="24">
        <f>'на выход'!J267</f>
        <v>49.730000000000004</v>
      </c>
      <c r="I12" s="24">
        <f>'на выход'!K267</f>
        <v>53.938000000000002</v>
      </c>
      <c r="J12" s="24">
        <f>'на выход'!L267</f>
        <v>15.908999999999999</v>
      </c>
      <c r="K12" s="24">
        <f>'на выход'!M267</f>
        <v>461.41699999999997</v>
      </c>
      <c r="L12" s="24">
        <f>'на выход'!N267</f>
        <v>777.49099999999999</v>
      </c>
      <c r="M12" s="24">
        <f>'на выход'!O267</f>
        <v>416.471</v>
      </c>
      <c r="N12" s="24">
        <f>'на выход'!P267</f>
        <v>14.721000000000002</v>
      </c>
    </row>
    <row r="13" spans="2:20" ht="16.5" customHeight="1" x14ac:dyDescent="0.25">
      <c r="B13" s="23">
        <v>9</v>
      </c>
      <c r="C13" s="24">
        <f>'на выход'!E297</f>
        <v>72.117166666666662</v>
      </c>
      <c r="D13" s="24">
        <f>'на выход'!F297</f>
        <v>75.11966666666666</v>
      </c>
      <c r="E13" s="24">
        <f>'на выход'!G297</f>
        <v>281.17383333333333</v>
      </c>
      <c r="F13" s="24">
        <f>'на выход'!H297</f>
        <v>2233.1745000000001</v>
      </c>
      <c r="G13" s="24">
        <f>'на выход'!I297</f>
        <v>1.3755000000000002</v>
      </c>
      <c r="H13" s="24">
        <f>'на выход'!J297</f>
        <v>21.932499999999997</v>
      </c>
      <c r="I13" s="24">
        <f>'на выход'!K297</f>
        <v>28.823999999999998</v>
      </c>
      <c r="J13" s="24">
        <f>'на выход'!L297</f>
        <v>22.440999999999999</v>
      </c>
      <c r="K13" s="24">
        <f>'на выход'!M297</f>
        <v>636.62900000000002</v>
      </c>
      <c r="L13" s="24">
        <f>'на выход'!N297</f>
        <v>751.798</v>
      </c>
      <c r="M13" s="24">
        <f>'на выход'!O297</f>
        <v>537.47749999999996</v>
      </c>
      <c r="N13" s="24">
        <f>'на выход'!P297</f>
        <v>33.703999999999994</v>
      </c>
    </row>
    <row r="14" spans="2:20" ht="15.75" x14ac:dyDescent="0.25">
      <c r="B14" s="23">
        <v>10</v>
      </c>
      <c r="C14" s="24">
        <f>'на выход'!E333</f>
        <v>70.038666666666671</v>
      </c>
      <c r="D14" s="24">
        <f>'на выход'!F333</f>
        <v>76.478666666666655</v>
      </c>
      <c r="E14" s="24">
        <f>'на выход'!G333</f>
        <v>303.96733333333339</v>
      </c>
      <c r="F14" s="24">
        <f>'на выход'!H333</f>
        <v>2039.473</v>
      </c>
      <c r="G14" s="24">
        <f>'на выход'!I333</f>
        <v>0.97399999999999998</v>
      </c>
      <c r="H14" s="24">
        <f>'на выход'!J333</f>
        <v>115.039</v>
      </c>
      <c r="I14" s="24">
        <f>'на выход'!K333</f>
        <v>11.95</v>
      </c>
      <c r="J14" s="24">
        <f>'на выход'!L333</f>
        <v>20.504999999999999</v>
      </c>
      <c r="K14" s="24">
        <f>'на выход'!M333</f>
        <v>1146.8800000000001</v>
      </c>
      <c r="L14" s="24">
        <f>'на выход'!N333</f>
        <v>882.94</v>
      </c>
      <c r="M14" s="24">
        <f>'на выход'!O333</f>
        <v>714.70899999999995</v>
      </c>
      <c r="N14" s="24">
        <f>'на выход'!P333</f>
        <v>13.790000000000001</v>
      </c>
    </row>
    <row r="15" spans="2:20" ht="31.5" x14ac:dyDescent="0.25">
      <c r="B15" s="25" t="s">
        <v>39</v>
      </c>
      <c r="C15" s="26">
        <f>SUM(C5:C14)</f>
        <v>688.19566666666663</v>
      </c>
      <c r="D15" s="26">
        <f t="shared" ref="D15:N15" si="0">SUM(D5:D14)</f>
        <v>720.58983333333322</v>
      </c>
      <c r="E15" s="26">
        <f t="shared" si="0"/>
        <v>2884.3950000000004</v>
      </c>
      <c r="F15" s="26">
        <f t="shared" si="0"/>
        <v>20607.97591666667</v>
      </c>
      <c r="G15" s="26">
        <f t="shared" si="0"/>
        <v>9.3766666666666669</v>
      </c>
      <c r="H15" s="26">
        <f t="shared" si="0"/>
        <v>549.6182500000001</v>
      </c>
      <c r="I15" s="26">
        <f t="shared" si="0"/>
        <v>433.71791666666672</v>
      </c>
      <c r="J15" s="26">
        <f t="shared" si="0"/>
        <v>213.87358333333333</v>
      </c>
      <c r="K15" s="26">
        <f t="shared" si="0"/>
        <v>7701.0316666666677</v>
      </c>
      <c r="L15" s="26">
        <f t="shared" si="0"/>
        <v>9986.2185833333351</v>
      </c>
      <c r="M15" s="26">
        <f t="shared" si="0"/>
        <v>5638.804250000001</v>
      </c>
      <c r="N15" s="26">
        <f t="shared" si="0"/>
        <v>199.54691666666665</v>
      </c>
    </row>
    <row r="17" spans="3:14" x14ac:dyDescent="0.25">
      <c r="C17" s="155">
        <f>C15/10</f>
        <v>68.81956666666666</v>
      </c>
      <c r="D17" s="155">
        <f t="shared" ref="D17:N17" si="1">D15/10</f>
        <v>72.058983333333316</v>
      </c>
      <c r="E17" s="155">
        <f t="shared" si="1"/>
        <v>288.43950000000007</v>
      </c>
      <c r="F17" s="155">
        <f t="shared" si="1"/>
        <v>2060.7975916666669</v>
      </c>
      <c r="G17" s="155">
        <f t="shared" si="1"/>
        <v>0.93766666666666665</v>
      </c>
      <c r="H17" s="155">
        <f t="shared" si="1"/>
        <v>54.961825000000012</v>
      </c>
      <c r="I17" s="155">
        <f t="shared" si="1"/>
        <v>43.371791666666674</v>
      </c>
      <c r="J17" s="155">
        <f t="shared" si="1"/>
        <v>21.387358333333331</v>
      </c>
      <c r="K17" s="155">
        <f t="shared" si="1"/>
        <v>770.10316666666677</v>
      </c>
      <c r="L17" s="155">
        <f t="shared" si="1"/>
        <v>998.62185833333353</v>
      </c>
      <c r="M17" s="155">
        <f t="shared" si="1"/>
        <v>563.88042500000006</v>
      </c>
      <c r="N17" s="155">
        <f t="shared" si="1"/>
        <v>19.954691666666665</v>
      </c>
    </row>
    <row r="18" spans="3:14" x14ac:dyDescent="0.25"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</row>
    <row r="19" spans="3:14" x14ac:dyDescent="0.25">
      <c r="C19" s="155">
        <f>90*75/100</f>
        <v>67.5</v>
      </c>
      <c r="D19" s="155">
        <f>92*75/100</f>
        <v>69</v>
      </c>
      <c r="E19" s="155">
        <f>383*75/100</f>
        <v>287.25</v>
      </c>
      <c r="F19" s="155">
        <f>2720*75/100</f>
        <v>2040</v>
      </c>
      <c r="G19" s="155">
        <f>1.4*75/100</f>
        <v>1.05</v>
      </c>
      <c r="H19" s="155">
        <f>70*75/100</f>
        <v>52.5</v>
      </c>
      <c r="I19" s="155">
        <f>900*75/100</f>
        <v>675</v>
      </c>
      <c r="J19" s="155"/>
      <c r="K19" s="155">
        <f>1200*75/100</f>
        <v>900</v>
      </c>
      <c r="L19" s="155">
        <f>1200*75/100</f>
        <v>900</v>
      </c>
      <c r="M19" s="155">
        <f>300*75/100</f>
        <v>225</v>
      </c>
      <c r="N19" s="155">
        <f>18*75/100</f>
        <v>13.5</v>
      </c>
    </row>
    <row r="20" spans="3:14" x14ac:dyDescent="0.25"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3:14" x14ac:dyDescent="0.25">
      <c r="C21" s="155">
        <f>D17/C17</f>
        <v>1.0470711575729188</v>
      </c>
      <c r="D21" s="155">
        <f>E17/C17</f>
        <v>4.1912426068748871</v>
      </c>
      <c r="E21" s="155">
        <f>E17/D17</f>
        <v>4.0028250005377561</v>
      </c>
      <c r="F21" s="155"/>
      <c r="G21" s="155"/>
      <c r="H21" s="155"/>
      <c r="I21" s="155"/>
      <c r="J21" s="155"/>
      <c r="K21" s="155"/>
      <c r="L21" s="155"/>
      <c r="M21" s="155"/>
      <c r="N21" s="155"/>
    </row>
    <row r="22" spans="3:14" x14ac:dyDescent="0.25"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topLeftCell="A13" workbookViewId="0">
      <selection activeCell="J14" sqref="J14"/>
    </sheetView>
  </sheetViews>
  <sheetFormatPr defaultColWidth="9.140625" defaultRowHeight="15.75" x14ac:dyDescent="0.2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 x14ac:dyDescent="0.25">
      <c r="B2" s="147" t="s">
        <v>60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ht="15" customHeight="1" x14ac:dyDescent="0.25">
      <c r="J3" s="148" t="s">
        <v>61</v>
      </c>
      <c r="K3" s="148"/>
      <c r="L3" s="148"/>
    </row>
    <row r="4" spans="2:12" x14ac:dyDescent="0.25">
      <c r="B4" s="9"/>
    </row>
    <row r="5" spans="2:12" ht="35.25" customHeight="1" x14ac:dyDescent="0.25">
      <c r="B5" s="146" t="s">
        <v>62</v>
      </c>
      <c r="C5" s="146" t="s">
        <v>63</v>
      </c>
      <c r="D5" s="146" t="s">
        <v>64</v>
      </c>
      <c r="E5" s="146" t="s">
        <v>100</v>
      </c>
      <c r="F5" s="146" t="s">
        <v>65</v>
      </c>
      <c r="G5" s="146" t="s">
        <v>95</v>
      </c>
      <c r="H5" s="146" t="s">
        <v>66</v>
      </c>
      <c r="I5" s="146" t="s">
        <v>67</v>
      </c>
      <c r="J5" s="146" t="s">
        <v>66</v>
      </c>
      <c r="K5" s="146" t="s">
        <v>68</v>
      </c>
      <c r="L5" s="146" t="s">
        <v>66</v>
      </c>
    </row>
    <row r="6" spans="2:12" ht="27.75" customHeight="1" x14ac:dyDescent="0.2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12" ht="16.5" customHeight="1" x14ac:dyDescent="0.25">
      <c r="B7" s="59">
        <v>1</v>
      </c>
      <c r="C7" s="60" t="s">
        <v>69</v>
      </c>
      <c r="D7" s="59">
        <v>150</v>
      </c>
      <c r="E7" s="59">
        <v>90</v>
      </c>
      <c r="F7" s="59">
        <v>900</v>
      </c>
      <c r="G7" s="59">
        <v>860</v>
      </c>
      <c r="H7" s="59">
        <v>96</v>
      </c>
      <c r="I7" s="59">
        <v>40</v>
      </c>
      <c r="J7" s="59">
        <v>4</v>
      </c>
      <c r="K7" s="59" t="s">
        <v>70</v>
      </c>
      <c r="L7" s="59" t="s">
        <v>70</v>
      </c>
    </row>
    <row r="8" spans="2:12" ht="16.5" customHeight="1" x14ac:dyDescent="0.25">
      <c r="B8" s="59">
        <v>2</v>
      </c>
      <c r="C8" s="60" t="s">
        <v>71</v>
      </c>
      <c r="D8" s="59">
        <v>15</v>
      </c>
      <c r="E8" s="59">
        <v>9</v>
      </c>
      <c r="F8" s="59">
        <v>90</v>
      </c>
      <c r="G8" s="59">
        <v>90</v>
      </c>
      <c r="H8" s="59">
        <v>100</v>
      </c>
      <c r="I8" s="59" t="s">
        <v>70</v>
      </c>
      <c r="J8" s="59" t="s">
        <v>70</v>
      </c>
      <c r="K8" s="59" t="s">
        <v>70</v>
      </c>
      <c r="L8" s="59" t="s">
        <v>70</v>
      </c>
    </row>
    <row r="9" spans="2:12" ht="16.5" customHeight="1" x14ac:dyDescent="0.25">
      <c r="B9" s="59">
        <v>3</v>
      </c>
      <c r="C9" s="60" t="s">
        <v>72</v>
      </c>
      <c r="D9" s="59">
        <v>45</v>
      </c>
      <c r="E9" s="59">
        <v>27</v>
      </c>
      <c r="F9" s="59">
        <v>270</v>
      </c>
      <c r="G9" s="59">
        <v>270</v>
      </c>
      <c r="H9" s="59">
        <v>100</v>
      </c>
      <c r="I9" s="59" t="s">
        <v>70</v>
      </c>
      <c r="J9" s="59" t="s">
        <v>70</v>
      </c>
      <c r="K9" s="59" t="s">
        <v>70</v>
      </c>
      <c r="L9" s="59" t="s">
        <v>70</v>
      </c>
    </row>
    <row r="10" spans="2:12" ht="16.5" customHeight="1" x14ac:dyDescent="0.25">
      <c r="B10" s="59">
        <v>4</v>
      </c>
      <c r="C10" s="60" t="s">
        <v>73</v>
      </c>
      <c r="D10" s="59">
        <v>15</v>
      </c>
      <c r="E10" s="59">
        <v>9</v>
      </c>
      <c r="F10" s="59">
        <v>90</v>
      </c>
      <c r="G10" s="59">
        <v>90</v>
      </c>
      <c r="H10" s="59">
        <v>100</v>
      </c>
      <c r="I10" s="59" t="s">
        <v>70</v>
      </c>
      <c r="J10" s="59" t="s">
        <v>70</v>
      </c>
      <c r="K10" s="59" t="s">
        <v>70</v>
      </c>
      <c r="L10" s="59" t="s">
        <v>70</v>
      </c>
    </row>
    <row r="11" spans="2:12" ht="16.5" customHeight="1" x14ac:dyDescent="0.25">
      <c r="B11" s="59">
        <v>5</v>
      </c>
      <c r="C11" s="60" t="s">
        <v>74</v>
      </c>
      <c r="D11" s="59">
        <v>187</v>
      </c>
      <c r="E11" s="59">
        <v>112</v>
      </c>
      <c r="F11" s="59">
        <v>1120</v>
      </c>
      <c r="G11" s="59">
        <v>1120</v>
      </c>
      <c r="H11" s="59">
        <v>100</v>
      </c>
      <c r="I11" s="59" t="s">
        <v>70</v>
      </c>
      <c r="J11" s="59" t="s">
        <v>70</v>
      </c>
      <c r="K11" s="59" t="s">
        <v>70</v>
      </c>
      <c r="L11" s="59" t="s">
        <v>70</v>
      </c>
    </row>
    <row r="12" spans="2:12" ht="16.5" customHeight="1" x14ac:dyDescent="0.25">
      <c r="B12" s="59">
        <v>6</v>
      </c>
      <c r="C12" s="60" t="s">
        <v>75</v>
      </c>
      <c r="D12" s="59">
        <v>280</v>
      </c>
      <c r="E12" s="59">
        <v>168</v>
      </c>
      <c r="F12" s="59">
        <v>1680</v>
      </c>
      <c r="G12" s="59">
        <v>1680</v>
      </c>
      <c r="H12" s="59">
        <v>100</v>
      </c>
      <c r="I12" s="59" t="s">
        <v>70</v>
      </c>
      <c r="J12" s="59" t="s">
        <v>70</v>
      </c>
      <c r="K12" s="59" t="s">
        <v>70</v>
      </c>
      <c r="L12" s="59" t="s">
        <v>70</v>
      </c>
    </row>
    <row r="13" spans="2:12" ht="16.5" customHeight="1" x14ac:dyDescent="0.25">
      <c r="B13" s="59">
        <v>7</v>
      </c>
      <c r="C13" s="60" t="s">
        <v>76</v>
      </c>
      <c r="D13" s="59">
        <v>185</v>
      </c>
      <c r="E13" s="59">
        <v>111</v>
      </c>
      <c r="F13" s="59">
        <v>1110</v>
      </c>
      <c r="G13" s="59">
        <v>1200</v>
      </c>
      <c r="H13" s="59">
        <v>108</v>
      </c>
      <c r="I13" s="59" t="s">
        <v>70</v>
      </c>
      <c r="J13" s="59" t="s">
        <v>70</v>
      </c>
      <c r="K13" s="59">
        <v>90</v>
      </c>
      <c r="L13" s="59">
        <v>8</v>
      </c>
    </row>
    <row r="14" spans="2:12" ht="16.5" customHeight="1" x14ac:dyDescent="0.25">
      <c r="B14" s="59">
        <v>8</v>
      </c>
      <c r="C14" s="60" t="s">
        <v>77</v>
      </c>
      <c r="D14" s="59">
        <v>15</v>
      </c>
      <c r="E14" s="59">
        <v>9</v>
      </c>
      <c r="F14" s="59">
        <v>90</v>
      </c>
      <c r="G14" s="59">
        <v>90</v>
      </c>
      <c r="H14" s="59">
        <v>100</v>
      </c>
      <c r="I14" s="59" t="s">
        <v>70</v>
      </c>
      <c r="J14" s="59" t="s">
        <v>70</v>
      </c>
      <c r="K14" s="59" t="s">
        <v>70</v>
      </c>
      <c r="L14" s="59" t="s">
        <v>70</v>
      </c>
    </row>
    <row r="15" spans="2:12" ht="16.5" customHeight="1" x14ac:dyDescent="0.25">
      <c r="B15" s="59">
        <v>9</v>
      </c>
      <c r="C15" s="60" t="s">
        <v>78</v>
      </c>
      <c r="D15" s="59">
        <v>200</v>
      </c>
      <c r="E15" s="59">
        <v>120</v>
      </c>
      <c r="F15" s="59">
        <v>1200</v>
      </c>
      <c r="G15" s="59">
        <v>1200</v>
      </c>
      <c r="H15" s="59">
        <v>100</v>
      </c>
      <c r="I15" s="59" t="s">
        <v>70</v>
      </c>
      <c r="J15" s="59" t="s">
        <v>70</v>
      </c>
      <c r="K15" s="59" t="s">
        <v>70</v>
      </c>
      <c r="L15" s="59" t="s">
        <v>70</v>
      </c>
    </row>
    <row r="16" spans="2:12" ht="16.5" customHeight="1" x14ac:dyDescent="0.25">
      <c r="B16" s="59">
        <v>10</v>
      </c>
      <c r="C16" s="60" t="s">
        <v>79</v>
      </c>
      <c r="D16" s="59">
        <v>70</v>
      </c>
      <c r="E16" s="59">
        <v>42</v>
      </c>
      <c r="F16" s="59">
        <v>420</v>
      </c>
      <c r="G16" s="59">
        <v>420</v>
      </c>
      <c r="H16" s="59">
        <v>100</v>
      </c>
      <c r="I16" s="59" t="s">
        <v>70</v>
      </c>
      <c r="J16" s="59" t="s">
        <v>70</v>
      </c>
      <c r="K16" s="59" t="s">
        <v>70</v>
      </c>
      <c r="L16" s="59" t="s">
        <v>70</v>
      </c>
    </row>
    <row r="17" spans="2:12" ht="16.5" customHeight="1" x14ac:dyDescent="0.25">
      <c r="B17" s="59">
        <v>11</v>
      </c>
      <c r="C17" s="60" t="s">
        <v>80</v>
      </c>
      <c r="D17" s="59">
        <v>35</v>
      </c>
      <c r="E17" s="59">
        <v>21</v>
      </c>
      <c r="F17" s="59">
        <v>210</v>
      </c>
      <c r="G17" s="59">
        <v>210</v>
      </c>
      <c r="H17" s="59">
        <v>100</v>
      </c>
      <c r="I17" s="59" t="s">
        <v>70</v>
      </c>
      <c r="J17" s="59" t="s">
        <v>70</v>
      </c>
      <c r="K17" s="59" t="s">
        <v>70</v>
      </c>
      <c r="L17" s="59" t="s">
        <v>70</v>
      </c>
    </row>
    <row r="18" spans="2:12" ht="16.5" customHeight="1" x14ac:dyDescent="0.25">
      <c r="B18" s="59">
        <v>12</v>
      </c>
      <c r="C18" s="60" t="s">
        <v>81</v>
      </c>
      <c r="D18" s="59">
        <v>58</v>
      </c>
      <c r="E18" s="59">
        <v>35</v>
      </c>
      <c r="F18" s="59">
        <v>350</v>
      </c>
      <c r="G18" s="59">
        <v>280</v>
      </c>
      <c r="H18" s="59">
        <v>80</v>
      </c>
      <c r="I18" s="59">
        <v>70</v>
      </c>
      <c r="J18" s="59">
        <v>20</v>
      </c>
      <c r="K18" s="59" t="s">
        <v>70</v>
      </c>
      <c r="L18" s="59" t="s">
        <v>70</v>
      </c>
    </row>
    <row r="19" spans="2:12" ht="16.5" customHeight="1" x14ac:dyDescent="0.25">
      <c r="B19" s="59">
        <v>13</v>
      </c>
      <c r="C19" s="60" t="s">
        <v>82</v>
      </c>
      <c r="D19" s="59">
        <v>300</v>
      </c>
      <c r="E19" s="59">
        <v>180</v>
      </c>
      <c r="F19" s="59">
        <v>1800</v>
      </c>
      <c r="G19" s="59">
        <v>1600</v>
      </c>
      <c r="H19" s="59">
        <v>89</v>
      </c>
      <c r="I19" s="59">
        <v>200</v>
      </c>
      <c r="J19" s="59">
        <v>11</v>
      </c>
      <c r="K19" s="59" t="s">
        <v>70</v>
      </c>
      <c r="L19" s="59" t="s">
        <v>70</v>
      </c>
    </row>
    <row r="20" spans="2:12" ht="16.5" customHeight="1" x14ac:dyDescent="0.25">
      <c r="B20" s="59">
        <v>14</v>
      </c>
      <c r="C20" s="60" t="s">
        <v>83</v>
      </c>
      <c r="D20" s="59">
        <v>50</v>
      </c>
      <c r="E20" s="59">
        <v>30</v>
      </c>
      <c r="F20" s="59">
        <v>300</v>
      </c>
      <c r="G20" s="59">
        <v>300</v>
      </c>
      <c r="H20" s="59">
        <v>100</v>
      </c>
      <c r="I20" s="59" t="s">
        <v>70</v>
      </c>
      <c r="J20" s="59" t="s">
        <v>70</v>
      </c>
      <c r="K20" s="59" t="s">
        <v>70</v>
      </c>
      <c r="L20" s="59" t="s">
        <v>70</v>
      </c>
    </row>
    <row r="21" spans="2:12" ht="16.5" customHeight="1" x14ac:dyDescent="0.25">
      <c r="B21" s="59">
        <v>15</v>
      </c>
      <c r="C21" s="60" t="s">
        <v>84</v>
      </c>
      <c r="D21" s="59">
        <v>10</v>
      </c>
      <c r="E21" s="59">
        <v>6</v>
      </c>
      <c r="F21" s="59">
        <v>60</v>
      </c>
      <c r="G21" s="59">
        <v>64</v>
      </c>
      <c r="H21" s="59">
        <v>116</v>
      </c>
      <c r="I21" s="59" t="s">
        <v>70</v>
      </c>
      <c r="J21" s="59" t="s">
        <v>70</v>
      </c>
      <c r="K21" s="59">
        <v>4</v>
      </c>
      <c r="L21" s="59">
        <v>16</v>
      </c>
    </row>
    <row r="22" spans="2:12" ht="16.5" customHeight="1" x14ac:dyDescent="0.25">
      <c r="B22" s="59">
        <v>16</v>
      </c>
      <c r="C22" s="60" t="s">
        <v>85</v>
      </c>
      <c r="D22" s="59">
        <v>10</v>
      </c>
      <c r="E22" s="59">
        <v>6</v>
      </c>
      <c r="F22" s="59">
        <v>60</v>
      </c>
      <c r="G22" s="59">
        <v>60</v>
      </c>
      <c r="H22" s="59">
        <v>100</v>
      </c>
      <c r="I22" s="59" t="s">
        <v>70</v>
      </c>
      <c r="J22" s="59" t="s">
        <v>70</v>
      </c>
      <c r="K22" s="59" t="s">
        <v>70</v>
      </c>
      <c r="L22" s="59" t="s">
        <v>70</v>
      </c>
    </row>
    <row r="23" spans="2:12" ht="16.5" customHeight="1" x14ac:dyDescent="0.25">
      <c r="B23" s="59">
        <v>17</v>
      </c>
      <c r="C23" s="60" t="s">
        <v>86</v>
      </c>
      <c r="D23" s="59">
        <v>30</v>
      </c>
      <c r="E23" s="59">
        <v>18</v>
      </c>
      <c r="F23" s="59">
        <v>180</v>
      </c>
      <c r="G23" s="59">
        <v>180</v>
      </c>
      <c r="H23" s="59">
        <v>100</v>
      </c>
      <c r="I23" s="59" t="s">
        <v>70</v>
      </c>
      <c r="J23" s="59" t="s">
        <v>70</v>
      </c>
      <c r="K23" s="59" t="s">
        <v>70</v>
      </c>
      <c r="L23" s="59" t="s">
        <v>70</v>
      </c>
    </row>
    <row r="24" spans="2:12" ht="16.5" customHeight="1" x14ac:dyDescent="0.25">
      <c r="B24" s="59">
        <v>18</v>
      </c>
      <c r="C24" s="60" t="s">
        <v>87</v>
      </c>
      <c r="D24" s="59">
        <v>15</v>
      </c>
      <c r="E24" s="59">
        <v>9</v>
      </c>
      <c r="F24" s="59">
        <v>90</v>
      </c>
      <c r="G24" s="59">
        <v>90</v>
      </c>
      <c r="H24" s="59">
        <v>100</v>
      </c>
      <c r="I24" s="59" t="s">
        <v>70</v>
      </c>
      <c r="J24" s="59" t="s">
        <v>70</v>
      </c>
      <c r="K24" s="59" t="s">
        <v>70</v>
      </c>
      <c r="L24" s="59" t="s">
        <v>70</v>
      </c>
    </row>
    <row r="25" spans="2:12" ht="16.5" customHeight="1" x14ac:dyDescent="0.25">
      <c r="B25" s="59">
        <v>19</v>
      </c>
      <c r="C25" s="60" t="s">
        <v>88</v>
      </c>
      <c r="D25" s="59" t="s">
        <v>89</v>
      </c>
      <c r="E25" s="59">
        <v>24</v>
      </c>
      <c r="F25" s="59">
        <v>240</v>
      </c>
      <c r="G25" s="59">
        <v>240</v>
      </c>
      <c r="H25" s="59">
        <v>100</v>
      </c>
      <c r="I25" s="59" t="s">
        <v>70</v>
      </c>
      <c r="J25" s="59" t="s">
        <v>70</v>
      </c>
      <c r="K25" s="59" t="s">
        <v>70</v>
      </c>
      <c r="L25" s="59" t="s">
        <v>70</v>
      </c>
    </row>
    <row r="26" spans="2:12" ht="16.5" customHeight="1" x14ac:dyDescent="0.25">
      <c r="B26" s="59">
        <v>20</v>
      </c>
      <c r="C26" s="60" t="s">
        <v>90</v>
      </c>
      <c r="D26" s="59">
        <v>30</v>
      </c>
      <c r="E26" s="59">
        <v>18</v>
      </c>
      <c r="F26" s="59">
        <v>180</v>
      </c>
      <c r="G26" s="59">
        <v>180</v>
      </c>
      <c r="H26" s="59">
        <v>100</v>
      </c>
      <c r="I26" s="59" t="s">
        <v>70</v>
      </c>
      <c r="J26" s="59" t="s">
        <v>70</v>
      </c>
      <c r="K26" s="59" t="s">
        <v>70</v>
      </c>
      <c r="L26" s="59" t="s">
        <v>70</v>
      </c>
    </row>
    <row r="27" spans="2:12" ht="16.5" customHeight="1" x14ac:dyDescent="0.25">
      <c r="B27" s="59">
        <v>21</v>
      </c>
      <c r="C27" s="60" t="s">
        <v>91</v>
      </c>
      <c r="D27" s="59">
        <v>10</v>
      </c>
      <c r="E27" s="59">
        <v>6</v>
      </c>
      <c r="F27" s="59">
        <v>60</v>
      </c>
      <c r="G27" s="59">
        <v>40</v>
      </c>
      <c r="H27" s="59">
        <v>67</v>
      </c>
      <c r="I27" s="59">
        <v>20</v>
      </c>
      <c r="J27" s="59">
        <v>33</v>
      </c>
      <c r="K27" s="59" t="s">
        <v>70</v>
      </c>
      <c r="L27" s="59" t="s">
        <v>70</v>
      </c>
    </row>
    <row r="28" spans="2:12" ht="16.5" customHeight="1" x14ac:dyDescent="0.25">
      <c r="B28" s="59">
        <v>22</v>
      </c>
      <c r="C28" s="60" t="s">
        <v>92</v>
      </c>
      <c r="D28" s="59">
        <v>1</v>
      </c>
      <c r="E28" s="59">
        <v>0.6</v>
      </c>
      <c r="F28" s="59">
        <v>6</v>
      </c>
      <c r="G28" s="59">
        <v>6</v>
      </c>
      <c r="H28" s="59">
        <v>100</v>
      </c>
      <c r="I28" s="59" t="s">
        <v>70</v>
      </c>
      <c r="J28" s="59" t="s">
        <v>70</v>
      </c>
      <c r="K28" s="59" t="s">
        <v>70</v>
      </c>
      <c r="L28" s="59" t="s">
        <v>70</v>
      </c>
    </row>
    <row r="29" spans="2:12" ht="16.5" customHeight="1" x14ac:dyDescent="0.25">
      <c r="B29" s="59">
        <v>23</v>
      </c>
      <c r="C29" s="60" t="s">
        <v>93</v>
      </c>
      <c r="D29" s="59">
        <v>0.2</v>
      </c>
      <c r="E29" s="59">
        <v>0.12</v>
      </c>
      <c r="F29" s="59">
        <v>1.2</v>
      </c>
      <c r="G29" s="59">
        <v>1.2</v>
      </c>
      <c r="H29" s="59">
        <v>100</v>
      </c>
      <c r="I29" s="59" t="s">
        <v>70</v>
      </c>
      <c r="J29" s="59" t="s">
        <v>70</v>
      </c>
      <c r="K29" s="59" t="s">
        <v>70</v>
      </c>
      <c r="L29" s="59" t="s">
        <v>70</v>
      </c>
    </row>
    <row r="30" spans="2:12" ht="16.5" customHeight="1" x14ac:dyDescent="0.25">
      <c r="B30" s="59">
        <v>24</v>
      </c>
      <c r="C30" s="60" t="s">
        <v>94</v>
      </c>
      <c r="D30" s="59">
        <v>3</v>
      </c>
      <c r="E30" s="59">
        <v>1.8</v>
      </c>
      <c r="F30" s="59">
        <v>18</v>
      </c>
      <c r="G30" s="59">
        <v>18</v>
      </c>
      <c r="H30" s="59">
        <v>100</v>
      </c>
      <c r="I30" s="59" t="s">
        <v>70</v>
      </c>
      <c r="J30" s="59" t="s">
        <v>70</v>
      </c>
      <c r="K30" s="59" t="s">
        <v>70</v>
      </c>
      <c r="L30" s="59" t="s">
        <v>70</v>
      </c>
    </row>
    <row r="31" spans="2:12" x14ac:dyDescent="0.25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4" sqref="A14"/>
    </sheetView>
  </sheetViews>
  <sheetFormatPr defaultColWidth="9.140625" defaultRowHeight="18.75" x14ac:dyDescent="0.3"/>
  <cols>
    <col min="1" max="1" width="141.7109375" style="14" customWidth="1"/>
    <col min="2" max="16384" width="9.140625" style="14"/>
  </cols>
  <sheetData>
    <row r="1" spans="1:1" x14ac:dyDescent="0.3">
      <c r="A1" s="13" t="s">
        <v>101</v>
      </c>
    </row>
    <row r="2" spans="1:1" s="18" customFormat="1" ht="33" x14ac:dyDescent="0.25">
      <c r="A2" s="17" t="s">
        <v>102</v>
      </c>
    </row>
    <row r="3" spans="1:1" s="18" customFormat="1" ht="33" x14ac:dyDescent="0.25">
      <c r="A3" s="17" t="s">
        <v>103</v>
      </c>
    </row>
    <row r="4" spans="1:1" s="18" customFormat="1" ht="33" x14ac:dyDescent="0.25">
      <c r="A4" s="17" t="s">
        <v>104</v>
      </c>
    </row>
    <row r="5" spans="1:1" s="18" customFormat="1" ht="33" x14ac:dyDescent="0.25">
      <c r="A5" s="17" t="s">
        <v>105</v>
      </c>
    </row>
    <row r="6" spans="1:1" s="18" customFormat="1" ht="33" x14ac:dyDescent="0.25">
      <c r="A6" s="17" t="s">
        <v>106</v>
      </c>
    </row>
    <row r="7" spans="1:1" s="18" customFormat="1" ht="33" x14ac:dyDescent="0.25">
      <c r="A7" s="17" t="s">
        <v>107</v>
      </c>
    </row>
    <row r="8" spans="1:1" s="18" customFormat="1" ht="16.5" x14ac:dyDescent="0.25">
      <c r="A8" s="19" t="s">
        <v>108</v>
      </c>
    </row>
    <row r="9" spans="1:1" s="18" customFormat="1" ht="16.5" x14ac:dyDescent="0.25">
      <c r="A9" s="19" t="s">
        <v>109</v>
      </c>
    </row>
    <row r="10" spans="1:1" s="18" customFormat="1" ht="33" x14ac:dyDescent="0.25">
      <c r="A10" s="20" t="s">
        <v>248</v>
      </c>
    </row>
    <row r="11" spans="1:1" x14ac:dyDescent="0.3">
      <c r="A11" s="16"/>
    </row>
    <row r="12" spans="1:1" x14ac:dyDescent="0.3">
      <c r="A12" s="1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A20" sqref="A20:J20"/>
    </sheetView>
  </sheetViews>
  <sheetFormatPr defaultColWidth="9.140625" defaultRowHeight="15" x14ac:dyDescent="0.25"/>
  <cols>
    <col min="1" max="1" width="36.28515625" style="52" customWidth="1"/>
    <col min="2" max="6" width="9.140625" style="52"/>
    <col min="7" max="8" width="10.7109375" style="52" customWidth="1"/>
    <col min="9" max="9" width="9.5703125" style="52" customWidth="1"/>
    <col min="10" max="16384" width="9.140625" style="52"/>
  </cols>
  <sheetData>
    <row r="2" spans="1:10" x14ac:dyDescent="0.25">
      <c r="A2" s="57" t="s">
        <v>150</v>
      </c>
    </row>
    <row r="3" spans="1:10" ht="15.75" x14ac:dyDescent="0.25">
      <c r="A3" s="54"/>
      <c r="B3" s="54"/>
      <c r="C3" s="149" t="s">
        <v>149</v>
      </c>
      <c r="D3" s="149"/>
      <c r="E3" s="149" t="s">
        <v>136</v>
      </c>
      <c r="F3" s="149"/>
      <c r="G3" s="149" t="s">
        <v>137</v>
      </c>
      <c r="H3" s="149"/>
      <c r="I3" s="149" t="s">
        <v>138</v>
      </c>
      <c r="J3" s="149"/>
    </row>
    <row r="4" spans="1:10" ht="15.75" x14ac:dyDescent="0.25">
      <c r="A4" s="54"/>
      <c r="B4" s="54"/>
      <c r="C4" s="55" t="s">
        <v>143</v>
      </c>
      <c r="D4" s="55" t="s">
        <v>144</v>
      </c>
      <c r="E4" s="55" t="s">
        <v>143</v>
      </c>
      <c r="F4" s="55" t="s">
        <v>144</v>
      </c>
      <c r="G4" s="55" t="s">
        <v>143</v>
      </c>
      <c r="H4" s="55" t="s">
        <v>144</v>
      </c>
      <c r="I4" s="55" t="s">
        <v>143</v>
      </c>
      <c r="J4" s="55" t="s">
        <v>144</v>
      </c>
    </row>
    <row r="5" spans="1:10" ht="15.75" x14ac:dyDescent="0.25">
      <c r="A5" s="54" t="s">
        <v>139</v>
      </c>
      <c r="B5" s="54" t="s">
        <v>142</v>
      </c>
      <c r="C5" s="54">
        <f>77*20/100</f>
        <v>15.4</v>
      </c>
      <c r="D5" s="54">
        <f>77*25/100</f>
        <v>19.25</v>
      </c>
      <c r="E5" s="54">
        <f>79*20/100</f>
        <v>15.8</v>
      </c>
      <c r="F5" s="54">
        <f>79*25/100</f>
        <v>19.75</v>
      </c>
      <c r="G5" s="54">
        <f>335*20/100</f>
        <v>67</v>
      </c>
      <c r="H5" s="54">
        <f>335*25/100</f>
        <v>83.75</v>
      </c>
      <c r="I5" s="54">
        <f>2350*20/100</f>
        <v>470</v>
      </c>
      <c r="J5" s="54">
        <f>2350*25/100</f>
        <v>587.5</v>
      </c>
    </row>
    <row r="6" spans="1:10" ht="15.75" x14ac:dyDescent="0.25">
      <c r="A6" s="54" t="s">
        <v>140</v>
      </c>
      <c r="B6" s="54" t="s">
        <v>145</v>
      </c>
      <c r="C6" s="54">
        <f>77*30/100</f>
        <v>23.1</v>
      </c>
      <c r="D6" s="54">
        <f>77*35/100</f>
        <v>26.95</v>
      </c>
      <c r="E6" s="54">
        <f>79*30/100</f>
        <v>23.7</v>
      </c>
      <c r="F6" s="54">
        <f>79*35/100</f>
        <v>27.65</v>
      </c>
      <c r="G6" s="54">
        <f>335*30/100</f>
        <v>100.5</v>
      </c>
      <c r="H6" s="54">
        <f>335*35/100</f>
        <v>117.25</v>
      </c>
      <c r="I6" s="54">
        <f>2350*30/100</f>
        <v>705</v>
      </c>
      <c r="J6" s="54">
        <f>2350*35/100</f>
        <v>822.5</v>
      </c>
    </row>
    <row r="7" spans="1:10" ht="15.75" x14ac:dyDescent="0.25">
      <c r="A7" s="54" t="s">
        <v>141</v>
      </c>
      <c r="B7" s="54" t="s">
        <v>146</v>
      </c>
      <c r="C7" s="54">
        <f>77*10/100</f>
        <v>7.7</v>
      </c>
      <c r="D7" s="54">
        <f>77*15/100</f>
        <v>11.55</v>
      </c>
      <c r="E7" s="54">
        <f>79*10/100</f>
        <v>7.9</v>
      </c>
      <c r="F7" s="54">
        <f>79*15/100</f>
        <v>11.85</v>
      </c>
      <c r="G7" s="54">
        <f>335*10/100</f>
        <v>33.5</v>
      </c>
      <c r="H7" s="54">
        <f>335*15/100</f>
        <v>50.25</v>
      </c>
      <c r="I7" s="54">
        <f>2350*10/100</f>
        <v>235</v>
      </c>
      <c r="J7" s="54">
        <f>2350*15/100</f>
        <v>352.5</v>
      </c>
    </row>
    <row r="8" spans="1:10" ht="15.75" x14ac:dyDescent="0.25">
      <c r="A8" s="54" t="s">
        <v>147</v>
      </c>
      <c r="B8" s="54" t="s">
        <v>148</v>
      </c>
      <c r="C8" s="54">
        <f>SUM(C5:C7)</f>
        <v>46.2</v>
      </c>
      <c r="D8" s="54">
        <f t="shared" ref="D8:J8" si="0">SUM(D5:D7)</f>
        <v>57.75</v>
      </c>
      <c r="E8" s="54">
        <f t="shared" si="0"/>
        <v>47.4</v>
      </c>
      <c r="F8" s="54">
        <f t="shared" si="0"/>
        <v>59.25</v>
      </c>
      <c r="G8" s="54">
        <f t="shared" si="0"/>
        <v>201</v>
      </c>
      <c r="H8" s="54">
        <f t="shared" si="0"/>
        <v>251.25</v>
      </c>
      <c r="I8" s="54">
        <f t="shared" si="0"/>
        <v>1410</v>
      </c>
      <c r="J8" s="54">
        <f t="shared" si="0"/>
        <v>1762.5</v>
      </c>
    </row>
    <row r="9" spans="1:10" x14ac:dyDescent="0.25">
      <c r="C9" s="53"/>
    </row>
    <row r="10" spans="1:10" x14ac:dyDescent="0.25">
      <c r="A10" s="52" t="s">
        <v>151</v>
      </c>
    </row>
    <row r="11" spans="1:10" ht="15.75" x14ac:dyDescent="0.25">
      <c r="A11" s="54"/>
      <c r="B11" s="54"/>
      <c r="C11" s="149" t="s">
        <v>149</v>
      </c>
      <c r="D11" s="149"/>
      <c r="E11" s="149" t="s">
        <v>136</v>
      </c>
      <c r="F11" s="149"/>
      <c r="G11" s="149" t="s">
        <v>137</v>
      </c>
      <c r="H11" s="149"/>
      <c r="I11" s="149" t="s">
        <v>138</v>
      </c>
      <c r="J11" s="149"/>
    </row>
    <row r="12" spans="1:10" ht="15.75" x14ac:dyDescent="0.25">
      <c r="A12" s="54"/>
      <c r="B12" s="54"/>
      <c r="C12" s="56" t="s">
        <v>143</v>
      </c>
      <c r="D12" s="56" t="s">
        <v>144</v>
      </c>
      <c r="E12" s="56" t="s">
        <v>143</v>
      </c>
      <c r="F12" s="56" t="s">
        <v>144</v>
      </c>
      <c r="G12" s="56" t="s">
        <v>143</v>
      </c>
      <c r="H12" s="56" t="s">
        <v>144</v>
      </c>
      <c r="I12" s="56" t="s">
        <v>143</v>
      </c>
      <c r="J12" s="56" t="s">
        <v>144</v>
      </c>
    </row>
    <row r="13" spans="1:10" ht="15.75" x14ac:dyDescent="0.25">
      <c r="A13" s="54" t="s">
        <v>139</v>
      </c>
      <c r="B13" s="54" t="s">
        <v>142</v>
      </c>
      <c r="C13" s="54">
        <f>90*20/100</f>
        <v>18</v>
      </c>
      <c r="D13" s="54">
        <f>90*25/100</f>
        <v>22.5</v>
      </c>
      <c r="E13" s="54">
        <f>92*20/100</f>
        <v>18.399999999999999</v>
      </c>
      <c r="F13" s="54">
        <f>92*25/100</f>
        <v>23</v>
      </c>
      <c r="G13" s="54">
        <f>383*20/100</f>
        <v>76.599999999999994</v>
      </c>
      <c r="H13" s="54">
        <f>383*25/100</f>
        <v>95.75</v>
      </c>
      <c r="I13" s="54">
        <f>2720*20/100</f>
        <v>544</v>
      </c>
      <c r="J13" s="54">
        <f>2350*25/100</f>
        <v>587.5</v>
      </c>
    </row>
    <row r="14" spans="1:10" ht="15.75" x14ac:dyDescent="0.25">
      <c r="A14" s="54" t="s">
        <v>140</v>
      </c>
      <c r="B14" s="54" t="s">
        <v>145</v>
      </c>
      <c r="C14" s="54">
        <f>90*30/100</f>
        <v>27</v>
      </c>
      <c r="D14" s="54">
        <f>90*35/100</f>
        <v>31.5</v>
      </c>
      <c r="E14" s="54">
        <f>92*30/100</f>
        <v>27.6</v>
      </c>
      <c r="F14" s="54">
        <f>92*35/100</f>
        <v>32.200000000000003</v>
      </c>
      <c r="G14" s="54">
        <f>383*30/100</f>
        <v>114.9</v>
      </c>
      <c r="H14" s="54">
        <f>383*35/100</f>
        <v>134.05000000000001</v>
      </c>
      <c r="I14" s="54">
        <f>2720*30/100</f>
        <v>816</v>
      </c>
      <c r="J14" s="54">
        <f>2350*35/100</f>
        <v>822.5</v>
      </c>
    </row>
    <row r="15" spans="1:10" ht="15.75" x14ac:dyDescent="0.25">
      <c r="A15" s="54" t="s">
        <v>141</v>
      </c>
      <c r="B15" s="54" t="s">
        <v>146</v>
      </c>
      <c r="C15" s="54">
        <f>90*10/100</f>
        <v>9</v>
      </c>
      <c r="D15" s="54">
        <f>90*15/100</f>
        <v>13.5</v>
      </c>
      <c r="E15" s="54">
        <f>92*10/100</f>
        <v>9.1999999999999993</v>
      </c>
      <c r="F15" s="54">
        <f>92*15/100</f>
        <v>13.8</v>
      </c>
      <c r="G15" s="54">
        <f>383*10/100</f>
        <v>38.299999999999997</v>
      </c>
      <c r="H15" s="54">
        <f>383*15/100</f>
        <v>57.45</v>
      </c>
      <c r="I15" s="54">
        <f>2720*10/100</f>
        <v>272</v>
      </c>
      <c r="J15" s="54">
        <f>2720*15/100</f>
        <v>408</v>
      </c>
    </row>
    <row r="16" spans="1:10" ht="15.75" x14ac:dyDescent="0.25">
      <c r="A16" s="54" t="s">
        <v>147</v>
      </c>
      <c r="B16" s="54" t="s">
        <v>148</v>
      </c>
      <c r="C16" s="54">
        <f>SUM(C13:C15)</f>
        <v>54</v>
      </c>
      <c r="D16" s="54">
        <f t="shared" ref="D16:J16" si="1">SUM(D13:D15)</f>
        <v>67.5</v>
      </c>
      <c r="E16" s="54">
        <f t="shared" si="1"/>
        <v>55.2</v>
      </c>
      <c r="F16" s="54">
        <f t="shared" si="1"/>
        <v>69</v>
      </c>
      <c r="G16" s="54">
        <f t="shared" si="1"/>
        <v>229.8</v>
      </c>
      <c r="H16" s="54">
        <f t="shared" si="1"/>
        <v>287.25</v>
      </c>
      <c r="I16" s="54">
        <f t="shared" si="1"/>
        <v>1632</v>
      </c>
      <c r="J16" s="54">
        <f t="shared" si="1"/>
        <v>1818</v>
      </c>
    </row>
    <row r="17" spans="1:10" x14ac:dyDescent="0.25">
      <c r="C17" s="52">
        <v>60.42</v>
      </c>
      <c r="E17" s="52">
        <v>63.65</v>
      </c>
      <c r="G17" s="52">
        <v>245.7</v>
      </c>
      <c r="I17" s="52">
        <v>1827.17</v>
      </c>
    </row>
    <row r="20" spans="1:10" ht="83.25" customHeight="1" x14ac:dyDescent="0.25">
      <c r="A20" s="150" t="s">
        <v>152</v>
      </c>
      <c r="B20" s="150"/>
      <c r="C20" s="150"/>
      <c r="D20" s="150"/>
      <c r="E20" s="150"/>
      <c r="F20" s="150"/>
      <c r="G20" s="150"/>
      <c r="H20" s="150"/>
      <c r="I20" s="150"/>
      <c r="J20" s="150"/>
    </row>
    <row r="21" spans="1:10" ht="15.75" x14ac:dyDescent="0.25">
      <c r="A21" s="151"/>
      <c r="B21" s="152"/>
      <c r="C21" s="149" t="s">
        <v>149</v>
      </c>
      <c r="D21" s="149"/>
      <c r="E21" s="149" t="s">
        <v>136</v>
      </c>
      <c r="F21" s="149"/>
      <c r="G21" s="149" t="s">
        <v>137</v>
      </c>
      <c r="H21" s="149"/>
      <c r="I21" s="149" t="s">
        <v>138</v>
      </c>
      <c r="J21" s="149"/>
    </row>
    <row r="22" spans="1:10" ht="15.75" x14ac:dyDescent="0.25">
      <c r="A22" s="149"/>
      <c r="B22" s="149"/>
      <c r="C22" s="56" t="s">
        <v>143</v>
      </c>
      <c r="D22" s="56" t="s">
        <v>144</v>
      </c>
      <c r="E22" s="56" t="s">
        <v>143</v>
      </c>
      <c r="F22" s="56" t="s">
        <v>144</v>
      </c>
      <c r="G22" s="56" t="s">
        <v>143</v>
      </c>
      <c r="H22" s="56" t="s">
        <v>144</v>
      </c>
      <c r="I22" s="56" t="s">
        <v>143</v>
      </c>
      <c r="J22" s="56" t="s">
        <v>144</v>
      </c>
    </row>
    <row r="23" spans="1:10" ht="45" customHeight="1" x14ac:dyDescent="0.25">
      <c r="A23" s="154" t="s">
        <v>154</v>
      </c>
      <c r="B23" s="154"/>
      <c r="C23" s="58">
        <v>46.2</v>
      </c>
      <c r="D23" s="58">
        <v>57.75</v>
      </c>
      <c r="E23" s="58">
        <v>47.4</v>
      </c>
      <c r="F23" s="58">
        <v>59.25</v>
      </c>
      <c r="G23" s="58">
        <v>201</v>
      </c>
      <c r="H23" s="58">
        <v>251.25</v>
      </c>
      <c r="I23" s="58">
        <v>1410</v>
      </c>
      <c r="J23" s="58">
        <v>1762.5</v>
      </c>
    </row>
    <row r="24" spans="1:10" ht="45" customHeight="1" x14ac:dyDescent="0.25">
      <c r="A24" s="154" t="s">
        <v>155</v>
      </c>
      <c r="B24" s="154"/>
      <c r="C24" s="58">
        <v>54</v>
      </c>
      <c r="D24" s="58">
        <v>67.5</v>
      </c>
      <c r="E24" s="58">
        <v>55.2</v>
      </c>
      <c r="F24" s="58">
        <v>69</v>
      </c>
      <c r="G24" s="58">
        <v>229.8</v>
      </c>
      <c r="H24" s="58">
        <v>287.25</v>
      </c>
      <c r="I24" s="58">
        <v>1632</v>
      </c>
      <c r="J24" s="58">
        <v>1818</v>
      </c>
    </row>
    <row r="25" spans="1:10" ht="45" customHeight="1" x14ac:dyDescent="0.25">
      <c r="A25" s="154" t="s">
        <v>153</v>
      </c>
      <c r="B25" s="154"/>
      <c r="C25" s="153">
        <v>60.42</v>
      </c>
      <c r="D25" s="153"/>
      <c r="E25" s="153">
        <v>63.65</v>
      </c>
      <c r="F25" s="153"/>
      <c r="G25" s="153">
        <v>245.7</v>
      </c>
      <c r="H25" s="153"/>
      <c r="I25" s="153">
        <v>1827.17</v>
      </c>
      <c r="J25" s="153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Титул!Область_печати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Antonova</cp:lastModifiedBy>
  <cp:lastPrinted>2022-11-08T08:18:08Z</cp:lastPrinted>
  <dcterms:created xsi:type="dcterms:W3CDTF">2020-10-25T16:40:18Z</dcterms:created>
  <dcterms:modified xsi:type="dcterms:W3CDTF">2022-11-08T08:36:09Z</dcterms:modified>
</cp:coreProperties>
</file>